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drew\Documents\MISC\AMAZON\"/>
    </mc:Choice>
  </mc:AlternateContent>
  <xr:revisionPtr revIDLastSave="0" documentId="8_{6C8EAF0E-4C37-42DA-9A71-751C4473A465}" xr6:coauthVersionLast="47" xr6:coauthVersionMax="47" xr10:uidLastSave="{00000000-0000-0000-0000-000000000000}"/>
  <bookViews>
    <workbookView xWindow="-110" yWindow="-110" windowWidth="38620" windowHeight="21100" xr2:uid="{00000000-000D-0000-FFFF-FFFF00000000}"/>
  </bookViews>
  <sheets>
    <sheet name="Tension-Shear" sheetId="1" r:id="rId1"/>
    <sheet name="Bending" sheetId="2" r:id="rId2"/>
    <sheet name="Long Welds" sheetId="3" r:id="rId3"/>
    <sheet name="Math Tools" sheetId="5" r:id="rId4"/>
  </sheets>
  <definedNames>
    <definedName name="solver_adj" localSheetId="2" hidden="1">'Long Welds'!$F$222:$F$226</definedName>
    <definedName name="solver_adj" localSheetId="0" hidden="1">'Tension-Shear'!$F$180</definedName>
    <definedName name="solver_cvg" localSheetId="2" hidden="1">0.0001</definedName>
    <definedName name="solver_cvg" localSheetId="0" hidden="1">0.0001</definedName>
    <definedName name="solver_drv" localSheetId="2" hidden="1">1</definedName>
    <definedName name="solver_drv" localSheetId="0" hidden="1">1</definedName>
    <definedName name="solver_eng" localSheetId="0" hidden="1">1</definedName>
    <definedName name="solver_est" localSheetId="2" hidden="1">1</definedName>
    <definedName name="solver_est" localSheetId="0" hidden="1">1</definedName>
    <definedName name="solver_itr" localSheetId="2" hidden="1">100</definedName>
    <definedName name="solver_itr" localSheetId="0" hidden="1">100</definedName>
    <definedName name="solver_lhs1" localSheetId="2" hidden="1">'Long Welds'!$C$222:$C$226</definedName>
    <definedName name="solver_lin" localSheetId="2" hidden="1">2</definedName>
    <definedName name="solver_lin" localSheetId="0" hidden="1">2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2" hidden="1">2</definedName>
    <definedName name="solver_neg" localSheetId="0" hidden="1">2</definedName>
    <definedName name="solver_nod" localSheetId="0" hidden="1">2147483647</definedName>
    <definedName name="solver_num" localSheetId="2" hidden="1">1</definedName>
    <definedName name="solver_num" localSheetId="0" hidden="1">0</definedName>
    <definedName name="solver_nwt" localSheetId="2" hidden="1">1</definedName>
    <definedName name="solver_nwt" localSheetId="0" hidden="1">1</definedName>
    <definedName name="solver_opt" localSheetId="0" hidden="1">'Tension-Shear'!$F$183</definedName>
    <definedName name="solver_pre" localSheetId="2" hidden="1">0.000001</definedName>
    <definedName name="solver_pre" localSheetId="0" hidden="1">0.000001</definedName>
    <definedName name="solver_rbv" localSheetId="0" hidden="1">1</definedName>
    <definedName name="solver_rel1" localSheetId="2" hidden="1">2</definedName>
    <definedName name="solver_rhs1" localSheetId="2" hidden="1">'Long Welds'!$D$222:$D$226</definedName>
    <definedName name="solver_rlx" localSheetId="0" hidden="1">1</definedName>
    <definedName name="solver_rsd" localSheetId="0" hidden="1">0</definedName>
    <definedName name="solver_scl" localSheetId="2" hidden="1">2</definedName>
    <definedName name="solver_scl" localSheetId="0" hidden="1">2</definedName>
    <definedName name="solver_sho" localSheetId="2" hidden="1">2</definedName>
    <definedName name="solver_sho" localSheetId="0" hidden="1">2</definedName>
    <definedName name="solver_ssz" localSheetId="0" hidden="1">100</definedName>
    <definedName name="solver_tim" localSheetId="2" hidden="1">100</definedName>
    <definedName name="solver_tim" localSheetId="0" hidden="1">100</definedName>
    <definedName name="solver_tol" localSheetId="2" hidden="1">0.05</definedName>
    <definedName name="solver_tol" localSheetId="0" hidden="1">0.05</definedName>
    <definedName name="solver_typ" localSheetId="2" hidden="1">1</definedName>
    <definedName name="solver_typ" localSheetId="0" hidden="1">1</definedName>
    <definedName name="solver_val" localSheetId="2" hidden="1">0</definedName>
    <definedName name="solver_val" localSheetId="0" hidden="1">0</definedName>
    <definedName name="solver_ver" localSheetId="0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4" i="2" l="1"/>
  <c r="C20" i="2"/>
  <c r="F183" i="1"/>
  <c r="I68" i="1"/>
  <c r="I70" i="1" s="1"/>
  <c r="G40" i="5"/>
  <c r="C40" i="5"/>
  <c r="C38" i="5"/>
  <c r="G37" i="5"/>
  <c r="G35" i="5"/>
  <c r="I42" i="1" l="1"/>
  <c r="C115" i="2"/>
  <c r="C118" i="2"/>
  <c r="C112" i="2"/>
  <c r="C120" i="2" s="1"/>
  <c r="C122" i="2"/>
  <c r="C124" i="2"/>
  <c r="C182" i="2"/>
  <c r="C184" i="2"/>
  <c r="C186" i="2" s="1"/>
  <c r="C192" i="2" s="1"/>
  <c r="C194" i="2" s="1"/>
  <c r="C188" i="2"/>
  <c r="C190" i="2" s="1"/>
  <c r="C68" i="2"/>
  <c r="C66" i="2"/>
  <c r="C71" i="2" s="1"/>
  <c r="C73" i="2"/>
  <c r="C52" i="2"/>
  <c r="C45" i="2"/>
  <c r="C50" i="2" s="1"/>
  <c r="C47" i="2"/>
  <c r="C31" i="2"/>
  <c r="C33" i="2"/>
  <c r="C18" i="2"/>
  <c r="C22" i="2" s="1"/>
  <c r="C16" i="2"/>
  <c r="C183" i="1"/>
  <c r="C32" i="3"/>
  <c r="C36" i="3"/>
  <c r="C34" i="3"/>
  <c r="C38" i="3"/>
  <c r="C47" i="3"/>
  <c r="C62" i="3"/>
  <c r="C272" i="2"/>
  <c r="C289" i="2" s="1"/>
  <c r="C270" i="2"/>
  <c r="C274" i="2" s="1"/>
  <c r="C276" i="2"/>
  <c r="C281" i="2" s="1"/>
  <c r="C283" i="2" s="1"/>
  <c r="C197" i="2"/>
  <c r="C204" i="2" s="1"/>
  <c r="C200" i="2"/>
  <c r="C198" i="2"/>
  <c r="C132" i="2"/>
  <c r="C139" i="2" s="1"/>
  <c r="C135" i="2"/>
  <c r="E122" i="1"/>
  <c r="E76" i="1"/>
  <c r="E50" i="1"/>
  <c r="C231" i="1"/>
  <c r="C227" i="1"/>
  <c r="E112" i="1"/>
  <c r="E114" i="1" s="1"/>
  <c r="E68" i="1"/>
  <c r="E42" i="1"/>
  <c r="C40" i="3" l="1"/>
  <c r="C44" i="3" s="1"/>
  <c r="C46" i="3" s="1"/>
  <c r="C49" i="3" s="1"/>
  <c r="C57" i="3" s="1"/>
  <c r="C59" i="3" s="1"/>
  <c r="C64" i="3" s="1"/>
  <c r="C293" i="2"/>
  <c r="C287" i="2"/>
  <c r="C291" i="2" s="1"/>
  <c r="C278" i="2"/>
  <c r="C35" i="2"/>
  <c r="C126" i="2"/>
  <c r="C128" i="2" s="1"/>
  <c r="C75" i="2"/>
  <c r="C202" i="2"/>
  <c r="C295" i="2"/>
  <c r="C297" i="2" s="1"/>
  <c r="C133" i="2"/>
  <c r="C137" i="2" s="1"/>
  <c r="C66" i="3" l="1"/>
  <c r="C61" i="3"/>
</calcChain>
</file>

<file path=xl/sharedStrings.xml><?xml version="1.0" encoding="utf-8"?>
<sst xmlns="http://schemas.openxmlformats.org/spreadsheetml/2006/main" count="893" uniqueCount="517">
  <si>
    <t>Course Content</t>
  </si>
  <si>
    <t>John Andrew P.E.</t>
  </si>
  <si>
    <t>SUMMARY:</t>
  </si>
  <si>
    <t>CONTENTS:</t>
  </si>
  <si>
    <t>of the welding process.</t>
  </si>
  <si>
    <t>strength, endurance, test procedures, and welder</t>
  </si>
  <si>
    <t>classifications.</t>
  </si>
  <si>
    <t>Input</t>
  </si>
  <si>
    <t>Calculation</t>
  </si>
  <si>
    <t>psi</t>
  </si>
  <si>
    <t>Length,  L =</t>
  </si>
  <si>
    <t>in</t>
  </si>
  <si>
    <t>Max load, P =</t>
  </si>
  <si>
    <t>Efficiency,  e =</t>
  </si>
  <si>
    <t>P =</t>
  </si>
  <si>
    <t>lbs</t>
  </si>
  <si>
    <t>Ss * T * L * e</t>
  </si>
  <si>
    <t>Max shear load, V =</t>
  </si>
  <si>
    <t>V =</t>
  </si>
  <si>
    <t>WELDS IN COMBINED SHEAR &amp; TENSION</t>
  </si>
  <si>
    <t>BUTT WELDS IN TENSION</t>
  </si>
  <si>
    <t>lbs/in^2</t>
  </si>
  <si>
    <t xml:space="preserve"> </t>
  </si>
  <si>
    <t>BUTT WELDS IN SHEAR</t>
  </si>
  <si>
    <t>FILLET WELDS IN SHEAR</t>
  </si>
  <si>
    <t>Applied shear load ( V ) is reacted by a shear stress ( Ss ) in the butt weld.</t>
  </si>
  <si>
    <t>The American Welding Society ( AWS ) has established</t>
  </si>
  <si>
    <t>Weld allowable shear stress = Ss  ( lbs/in^2 )</t>
  </si>
  <si>
    <t>Weld Strength</t>
  </si>
  <si>
    <t>Weld thickness,  t =</t>
  </si>
  <si>
    <t>t =</t>
  </si>
  <si>
    <t>2 * Ss * t * L * e</t>
  </si>
  <si>
    <t>Weld size, w =</t>
  </si>
  <si>
    <t>Shear Angle,  A =</t>
  </si>
  <si>
    <t>deg</t>
  </si>
  <si>
    <t>Vertical forces acting down</t>
  </si>
  <si>
    <t>Vertical forces acting up =</t>
  </si>
  <si>
    <t>Fs =</t>
  </si>
  <si>
    <t>Fs*COS (A) / SIN (A)</t>
  </si>
  <si>
    <t>Fn =</t>
  </si>
  <si>
    <t>Horizontal forces acting right =</t>
  </si>
  <si>
    <t>Horizontal forces acting left</t>
  </si>
  <si>
    <t xml:space="preserve">Fs*COS (A) </t>
  </si>
  <si>
    <t>Fn*SIN (A) =</t>
  </si>
  <si>
    <t>2*Fn*COS (A) + 2*Fs*SIN (A)</t>
  </si>
  <si>
    <t>2*(Fs*COS (A) / SIN (A))*COS (A) + 2*Fs*SIN (A)</t>
  </si>
  <si>
    <t>Weld size,  w =</t>
  </si>
  <si>
    <t>t*COS (A) + T*SIN (A)</t>
  </si>
  <si>
    <t>w / (COS (A) + SIN (A) )</t>
  </si>
  <si>
    <t>Weld shear stress,  Ss =</t>
  </si>
  <si>
    <t>Ss =</t>
  </si>
  <si>
    <t>Fs / (t * L)</t>
  </si>
  <si>
    <t>Weld shear angle,  A =</t>
  </si>
  <si>
    <t>Applied tension, P =</t>
  </si>
  <si>
    <t>Weld length, L =</t>
  </si>
  <si>
    <t>P*SIN (A) / 2</t>
  </si>
  <si>
    <t>Weld shear plane thickness =</t>
  </si>
  <si>
    <t>t (in)</t>
  </si>
  <si>
    <t>Equilibrium of Forces</t>
  </si>
  <si>
    <t>Excel Solver Calculates Shear Angle for Max Weld Stress</t>
  </si>
  <si>
    <t>Excel Solver</t>
  </si>
  <si>
    <t xml:space="preserve">Max Shear Stress </t>
  </si>
  <si>
    <t>Set Weld shear angle,  A = 45 as shown below.</t>
  </si>
  <si>
    <t>Conclusions:</t>
  </si>
  <si>
    <t>1. Maximum weld shear stress occurs on the plane that is 67.5 degrees to the horizontal.</t>
  </si>
  <si>
    <t>2. Solver can be used to find the maximum weld shear stress and the shear plane angle.</t>
  </si>
  <si>
    <t>w * SIN(A)</t>
  </si>
  <si>
    <t>Fillet Welds in Shear</t>
  </si>
  <si>
    <t>80% of welds are fillet welds.</t>
  </si>
  <si>
    <t>Allowable weld tension load,  Pa =</t>
  </si>
  <si>
    <t>Pa =</t>
  </si>
  <si>
    <t>Fs / (t * L )</t>
  </si>
  <si>
    <t>Fs * SIN (A) * ( (COS (A) + SIN (A)) / ( w * L )</t>
  </si>
  <si>
    <t>Maximum stress when, dSs/DA =</t>
  </si>
  <si>
    <t>0 =</t>
  </si>
  <si>
    <t xml:space="preserve">Fs [ (SIN (A)*(( -SIN (A) + COS (A))+(COS (A)+SIN (A)) * COS (A))/ w*L </t>
  </si>
  <si>
    <t>COS (2A)</t>
  </si>
  <si>
    <t>Substituting,  COS (2A) =</t>
  </si>
  <si>
    <t>and, SIN (A)*COS (A) =</t>
  </si>
  <si>
    <t>(1/2)*SIN(2A)</t>
  </si>
  <si>
    <t>Gives, SIN (2A) =</t>
  </si>
  <si>
    <t>-COS(A2)</t>
  </si>
  <si>
    <t>TAN (2A) =</t>
  </si>
  <si>
    <t>2A =</t>
  </si>
  <si>
    <t>135 deg</t>
  </si>
  <si>
    <t>Check solver solution for weld shear angle (A).</t>
  </si>
  <si>
    <t xml:space="preserve">Maximum shear stress is on the </t>
  </si>
  <si>
    <t>plane of minimum weld thickness.</t>
  </si>
  <si>
    <t>Weld length,  L =</t>
  </si>
  <si>
    <t>Calculations</t>
  </si>
  <si>
    <t xml:space="preserve">lbs </t>
  </si>
  <si>
    <t>St =</t>
  </si>
  <si>
    <t xml:space="preserve">1.207 * P / (w * L) </t>
  </si>
  <si>
    <t>St * w * L / 1.207</t>
  </si>
  <si>
    <t>P7</t>
  </si>
  <si>
    <t>( P*SIN (A) )*( (COS (A)+SIN (A) ) / ( w * L )</t>
  </si>
  <si>
    <t>(Pa*SIN (A))*(COS (A)+SIN (A) ) / ( w * L )</t>
  </si>
  <si>
    <t>Fillet Weld Strength in Tension</t>
  </si>
  <si>
    <t>Weld size (w) will be 0.488 inches to support a goal load of 22000 lbs.</t>
  </si>
  <si>
    <t>standards including weld: types, symbols, dimensions,</t>
  </si>
  <si>
    <t>plane at 45 degrees as shown below.</t>
  </si>
  <si>
    <t>Allowable tension stress,  St =</t>
  </si>
  <si>
    <t>Shear stress,  Ss =</t>
  </si>
  <si>
    <t>w * D^3 / 12</t>
  </si>
  <si>
    <t>Sb =</t>
  </si>
  <si>
    <t>The section modulus of any thin area can be approximated to that of a line multiplied by the width.</t>
  </si>
  <si>
    <t>FILLET WELDS IN BENDING AND TORSION</t>
  </si>
  <si>
    <t>Line Weld in Torsion</t>
  </si>
  <si>
    <t>Rectangular Line Weld in Bending about X-X</t>
  </si>
  <si>
    <t>2 * w * H * (D / 2)^2</t>
  </si>
  <si>
    <t>Area moment of inertia,  Ix =</t>
  </si>
  <si>
    <t>Vertical Line Weld in Bending</t>
  </si>
  <si>
    <t>Rectangular Line Weld in Torsion about the CG:</t>
  </si>
  <si>
    <t>Jv =</t>
  </si>
  <si>
    <t>Polar moment of outer weld area is Jo:</t>
  </si>
  <si>
    <t>Max distance from line CG to end, c =</t>
  </si>
  <si>
    <t>D / 2</t>
  </si>
  <si>
    <t>M*c / Ix</t>
  </si>
  <si>
    <t>Polar moment of vertical line weld, Jv =</t>
  </si>
  <si>
    <t>Weld thickness,  w =</t>
  </si>
  <si>
    <t>St * w * L * e</t>
  </si>
  <si>
    <t>Weld tension allowable, St =</t>
  </si>
  <si>
    <t>Part Strength</t>
  </si>
  <si>
    <t>Part tension allowable, Ft =</t>
  </si>
  <si>
    <t>Part thickness,  T =</t>
  </si>
  <si>
    <t xml:space="preserve">Ft * T * L </t>
  </si>
  <si>
    <t xml:space="preserve">Applied shear load ( V ) is reacted by a shear </t>
  </si>
  <si>
    <t>stress ( Ss ) in the butt weld.</t>
  </si>
  <si>
    <t>Weld allowable shear, Ss =</t>
  </si>
  <si>
    <t>Part allowable shear, Fs =</t>
  </si>
  <si>
    <t xml:space="preserve">Fs * T * L </t>
  </si>
  <si>
    <t>Part Length,  L =</t>
  </si>
  <si>
    <t>Weld Length,  L =</t>
  </si>
  <si>
    <t>Part thickness,  T1 =</t>
  </si>
  <si>
    <t xml:space="preserve">Fs * T1 * L </t>
  </si>
  <si>
    <t>EXAMPLE-1</t>
  </si>
  <si>
    <t>Total polar moment of inertia of the 4 line welds</t>
  </si>
  <si>
    <t xml:space="preserve">The rectangular cantilever pictured at the right </t>
  </si>
  <si>
    <t>is fillet welded to a vertical plate.</t>
  </si>
  <si>
    <t>The dimensions of the beam are:</t>
  </si>
  <si>
    <t>Solution:</t>
  </si>
  <si>
    <t>Maximum moment, M = P * L</t>
  </si>
  <si>
    <t>Maximum bending stress is Sm:</t>
  </si>
  <si>
    <t>Sm =</t>
  </si>
  <si>
    <t xml:space="preserve">Weld area moment of inertia is Iw: </t>
  </si>
  <si>
    <t>Iw = 2 * w * H * (D / 2)^2 + w * D^3 / 12</t>
  </si>
  <si>
    <t>Max moment,  M =</t>
  </si>
  <si>
    <t>Cantilever beam end load,  P =</t>
  </si>
  <si>
    <t>Beam width,  H =</t>
  </si>
  <si>
    <t>Beam depth,  D =</t>
  </si>
  <si>
    <t>Beam length,  L =</t>
  </si>
  <si>
    <t>Fillet weld size,  w =</t>
  </si>
  <si>
    <t>P * L</t>
  </si>
  <si>
    <t>M =</t>
  </si>
  <si>
    <t xml:space="preserve">Top &amp; bottom weld area moment of inertia: </t>
  </si>
  <si>
    <t xml:space="preserve">Left &amp; right weld area moment of inertia: </t>
  </si>
  <si>
    <t>I1 =</t>
  </si>
  <si>
    <t>I2 =</t>
  </si>
  <si>
    <t>in^4</t>
  </si>
  <si>
    <t>Weld max bending stress,  Sm =</t>
  </si>
  <si>
    <t>lb/in^2</t>
  </si>
  <si>
    <t>Weld area,  Aw =</t>
  </si>
  <si>
    <t>Aw =</t>
  </si>
  <si>
    <t>w * ( 2 * D ) + ( 2 * H )</t>
  </si>
  <si>
    <t>in^2</t>
  </si>
  <si>
    <t>Average shear stress,  Ss =</t>
  </si>
  <si>
    <t>P / Aw</t>
  </si>
  <si>
    <t>Weld resultant stress,  Sr =</t>
  </si>
  <si>
    <t>( Sm^2 + Ss^2 )^0.5</t>
  </si>
  <si>
    <t>Sr =</t>
  </si>
  <si>
    <t>Sr * w</t>
  </si>
  <si>
    <t xml:space="preserve">lb/in </t>
  </si>
  <si>
    <t>Fw =</t>
  </si>
  <si>
    <t>Max weld load per inch,  Fw =</t>
  </si>
  <si>
    <t>Fillet Weld Strength in Bending</t>
  </si>
  <si>
    <t>Cantilever Beam Strength in Bending</t>
  </si>
  <si>
    <t>H * D^3 / 12</t>
  </si>
  <si>
    <t>Beam max bending stress,  Sb =</t>
  </si>
  <si>
    <t>Beam area moment of inertia, Ib =</t>
  </si>
  <si>
    <t>Ib =</t>
  </si>
  <si>
    <t>M * (D/2) / Ib</t>
  </si>
  <si>
    <t>Max moment from above,  M =</t>
  </si>
  <si>
    <t>in-lbs</t>
  </si>
  <si>
    <t>Beam max shear stress,  Sb =</t>
  </si>
  <si>
    <t>1.5 * P / ( H * D )</t>
  </si>
  <si>
    <t>PROBLEM-1</t>
  </si>
  <si>
    <t xml:space="preserve"> &gt; pick cell B109 ( w ) &gt; OK.</t>
  </si>
  <si>
    <t>use Goal Seek to calculate the weld size of weld (w) required to</t>
  </si>
  <si>
    <t>Given that the max weld stress is to be less than 13,600 lbs/in^2,</t>
  </si>
  <si>
    <t>Pick: B126 ( Sr ) &gt; Tools &gt;  Goal Seek &gt; Set cell to value, ( 13600 ) &gt;</t>
  </si>
  <si>
    <t>support an end load ( P ) of 10,000 lbs on the cantilever above.</t>
  </si>
  <si>
    <t>Answer: Weld size,  w = 0.493 say 0.5 in</t>
  </si>
  <si>
    <t>Iw = I1 + I2</t>
  </si>
  <si>
    <t xml:space="preserve">                            Sm = M * ( D/2 ) / Iw</t>
  </si>
  <si>
    <t>a load, P = 5,000 lbs.</t>
  </si>
  <si>
    <t>L = 4 in, D = 3 in, H = 2 in.</t>
  </si>
  <si>
    <t xml:space="preserve">                                 = 20,000 in-lb</t>
  </si>
  <si>
    <t>Iw = 2.2500 in^4</t>
  </si>
  <si>
    <t xml:space="preserve">                            Sm = 13,330 ( lb/in^2 )</t>
  </si>
  <si>
    <t>See calculation below:</t>
  </si>
  <si>
    <t>EXAMPLE-2</t>
  </si>
  <si>
    <t>L = 4 in, D = 3 in.</t>
  </si>
  <si>
    <t>Iw = 3.1416 * ( (D + w )^4 - ( D )^4 ) / 64</t>
  </si>
  <si>
    <t>Weld area moment of inertia,  Iw =</t>
  </si>
  <si>
    <t>3.1416 * ( (D + w )^4 - ( D )^4 ) / 64</t>
  </si>
  <si>
    <t>M * (D/2) / Iw</t>
  </si>
  <si>
    <t>Iw =</t>
  </si>
  <si>
    <t xml:space="preserve">3.1416 * ( (D + w )^2 - ( D )^2 ) </t>
  </si>
  <si>
    <t>3.1416 * D^4 / 64</t>
  </si>
  <si>
    <t>1.333 * P / ( 3.1416 * D^2 / 4 )</t>
  </si>
  <si>
    <t>EXAMPLE-3</t>
  </si>
  <si>
    <t xml:space="preserve">The rectangular cantilever bracket pictured at </t>
  </si>
  <si>
    <t>the right is fillet welded to a vertical plate.</t>
  </si>
  <si>
    <t>L = 3 in, D = 3 in, H = 4</t>
  </si>
  <si>
    <t xml:space="preserve">                                 = 5000 * 4</t>
  </si>
  <si>
    <t xml:space="preserve">                                 = 5,000 * 4</t>
  </si>
  <si>
    <t xml:space="preserve">                                 = 5,000 * 3</t>
  </si>
  <si>
    <t xml:space="preserve">                                 = 15,000 in-lb</t>
  </si>
  <si>
    <t>Iw = ( (D + w )^4 - ( D )^4 ) / 64</t>
  </si>
  <si>
    <t xml:space="preserve">The vertical load ( P ) applied at the free end </t>
  </si>
  <si>
    <t>Bracket Weld Stress</t>
  </si>
  <si>
    <t>torque ( T ) and shear ( V ) at the center of</t>
  </si>
  <si>
    <t>By symmetry,  Yn = ( D+w ) / 2</t>
  </si>
  <si>
    <t xml:space="preserve">Note: Excel uses the symbol ( * ) for </t>
  </si>
  <si>
    <t>multiplication.</t>
  </si>
  <si>
    <t>Xn = ( ( 2 * H * w ) * ( H/2 ) + ( D + 2*w ) * 0 ) / A</t>
  </si>
  <si>
    <t>gravity of the weld area ( A ).</t>
  </si>
  <si>
    <t>Weld area,  A =</t>
  </si>
  <si>
    <t>Weld area,  A = ( D*w )+( 2*( H + w )*w )</t>
  </si>
  <si>
    <t>T = ( 2*Fx*(H+w)* Yn )+( Fy * D * Xn )</t>
  </si>
  <si>
    <t>V = Fp*( D )+( 2*( H + w ) )</t>
  </si>
  <si>
    <t>Cantilever bracket end load,  P =</t>
  </si>
  <si>
    <t>Weld width,  H =</t>
  </si>
  <si>
    <t>Weld depth,  D =</t>
  </si>
  <si>
    <t>( D*w )+( 2*( H + w )*w )</t>
  </si>
  <si>
    <t>A =</t>
  </si>
  <si>
    <t>Xn =</t>
  </si>
  <si>
    <t>( D+w ) / 2</t>
  </si>
  <si>
    <t>Yn =</t>
  </si>
  <si>
    <t>( ( 2*H*w ) * ( H/2 ) + ( D + 2*w ) * 0 ) / A</t>
  </si>
  <si>
    <t>Weld CG by symmetry,  Yn =</t>
  </si>
  <si>
    <t>Weld CG,  Xn =</t>
  </si>
  <si>
    <t>Bracket Fillet Weld Strength</t>
  </si>
  <si>
    <t>P</t>
  </si>
  <si>
    <t>T =</t>
  </si>
  <si>
    <t>P*( L+H-Xn )</t>
  </si>
  <si>
    <t>3*V / ( 2*A )</t>
  </si>
  <si>
    <t>D*w*( w^2+D^2 ) / 12</t>
  </si>
  <si>
    <t>Polar moment of 2 horizontal welds, Jh =</t>
  </si>
  <si>
    <t>Jh =</t>
  </si>
  <si>
    <t>Total polar moment of welds, Jt =</t>
  </si>
  <si>
    <t>Jv + Jh</t>
  </si>
  <si>
    <t>Jt =</t>
  </si>
  <si>
    <t>Max weld torsion shear stress at point ( N ):</t>
  </si>
  <si>
    <t>T*R1 / Jt</t>
  </si>
  <si>
    <t>Sn =</t>
  </si>
  <si>
    <t>Radius,  R1 =</t>
  </si>
  <si>
    <t>( ( H - Xn )^2 + ( D/ 2 )^2 )^0.5</t>
  </si>
  <si>
    <t>R1 =</t>
  </si>
  <si>
    <t>( w*D*( w^2+D^2 ) / 12 ) + ( D*w*Xn^2)</t>
  </si>
  <si>
    <t>( 2*H*w*( H^2+w^2 ) / 12 ) + ( 2*H*w*Yn^2)</t>
  </si>
  <si>
    <t>Max weld shear stress at point ( M ):</t>
  </si>
  <si>
    <t>Sm * w</t>
  </si>
  <si>
    <t>Sn * w</t>
  </si>
  <si>
    <t>Fm =</t>
  </si>
  <si>
    <t>Weld shear per inch,  Fn =</t>
  </si>
  <si>
    <t>LONG WELDS</t>
  </si>
  <si>
    <t>Cantilever beam length, L =</t>
  </si>
  <si>
    <t>Flange width,  H =</t>
  </si>
  <si>
    <t>Web thickness,  T1 =</t>
  </si>
  <si>
    <t>Flange thickness,  T2 =</t>
  </si>
  <si>
    <t>Welded Plate Beam Strength</t>
  </si>
  <si>
    <t>( D/2 - T2 )</t>
  </si>
  <si>
    <t>Z =</t>
  </si>
  <si>
    <t>( D/2 - T2/2 )</t>
  </si>
  <si>
    <t>Yw =</t>
  </si>
  <si>
    <t xml:space="preserve">Web shear stress at Y = Yw,  Ss = </t>
  </si>
  <si>
    <t>V * A * Z / ( T1 * I )</t>
  </si>
  <si>
    <t>I =</t>
  </si>
  <si>
    <t>( H*D^3 / 12 ) - ( ( H-T1)*(2*Yw)^3 /12 )</t>
  </si>
  <si>
    <t>Section moment of area,  I =</t>
  </si>
  <si>
    <t xml:space="preserve">Ss = </t>
  </si>
  <si>
    <t>lb/in</t>
  </si>
  <si>
    <t>Weld shear force (lbs per in),  Fw =</t>
  </si>
  <si>
    <t>Beam top flange area,  A =</t>
  </si>
  <si>
    <t>H * T2</t>
  </si>
  <si>
    <t>There are 2 fillet welds at Y = Yw:</t>
  </si>
  <si>
    <t>Weld allowable shear stress,  Sa =</t>
  </si>
  <si>
    <t>Initial weld size,  wi =</t>
  </si>
  <si>
    <t>Initial weld stress,  Si =</t>
  </si>
  <si>
    <t>Fw / w</t>
  </si>
  <si>
    <t>Si =</t>
  </si>
  <si>
    <t>Final weld stress, from input, Sa =</t>
  </si>
  <si>
    <t>Si / Sa</t>
  </si>
  <si>
    <t>Ss * 0.707 * w / 2</t>
  </si>
  <si>
    <t>allowable shear stress.</t>
  </si>
  <si>
    <t xml:space="preserve"> tab page 3 )</t>
  </si>
  <si>
    <t>Plate</t>
  </si>
  <si>
    <t>Minimum</t>
  </si>
  <si>
    <t>Weld Size</t>
  </si>
  <si>
    <t>Thickness</t>
  </si>
  <si>
    <t>up to 0.5"</t>
  </si>
  <si>
    <t>0.5" to 0.75"</t>
  </si>
  <si>
    <t>0.75" to 1.25"</t>
  </si>
  <si>
    <t>1.25" to 2"</t>
  </si>
  <si>
    <t>2" to 6"</t>
  </si>
  <si>
    <t>above 6"</t>
  </si>
  <si>
    <t>0.25"</t>
  </si>
  <si>
    <t>0.188"</t>
  </si>
  <si>
    <t>0.313"</t>
  </si>
  <si>
    <t>0.375"</t>
  </si>
  <si>
    <t>0.5"</t>
  </si>
  <si>
    <t>0.625"</t>
  </si>
  <si>
    <t>Theoretical weld size,  wt =</t>
  </si>
  <si>
    <t>wt =</t>
  </si>
  <si>
    <t>See the adjacent table for minimum ( flange ) weld size ( w )</t>
  </si>
  <si>
    <t>Weld size ratio,  R =</t>
  </si>
  <si>
    <t>( Min continuous weld size )  / ( Intermittent weld size )</t>
  </si>
  <si>
    <t>R =</t>
  </si>
  <si>
    <t>wt / w</t>
  </si>
  <si>
    <t>Intermittent weld pitch, P =</t>
  </si>
  <si>
    <t>R * L</t>
  </si>
  <si>
    <t>Intermittent weld total length, Lw =</t>
  </si>
  <si>
    <t>Lw =</t>
  </si>
  <si>
    <t>L - Lw</t>
  </si>
  <si>
    <t>Lg =</t>
  </si>
  <si>
    <t>Total of gaps between welds, Lg =</t>
  </si>
  <si>
    <t>Given intermittent weld length, K =</t>
  </si>
  <si>
    <t>Number of intermittent welds,  Nw =</t>
  </si>
  <si>
    <t>Lw / K</t>
  </si>
  <si>
    <t>Nw =</t>
  </si>
  <si>
    <t>-</t>
  </si>
  <si>
    <t>Intermittent weld length,  K =</t>
  </si>
  <si>
    <t>Enter minimum weld size,  w =</t>
  </si>
  <si>
    <t>( Lw / Nw) + Lg / ( Nw - 1 )</t>
  </si>
  <si>
    <t>Summary:</t>
  </si>
  <si>
    <t>67.5 deg</t>
  </si>
  <si>
    <t>Same as obtained by using Goal Seek.</t>
  </si>
  <si>
    <t>Spot diameter, D =</t>
  </si>
  <si>
    <t>Material thickness, T =</t>
  </si>
  <si>
    <t>Weld allowable shear stress, Ss =</t>
  </si>
  <si>
    <t>π * D^2 / 4</t>
  </si>
  <si>
    <t>Spot weld area,  A =</t>
  </si>
  <si>
    <t>The above beam shear stress distribution is illustrated here. The beam's web shear</t>
  </si>
  <si>
    <t>stress ( Ss ) is calculated at the top of the web at Y = Yw.</t>
  </si>
  <si>
    <t>This web shear stress is carried by 2 fillet welds having an initial size ( w ) of</t>
  </si>
  <si>
    <t>1.00 inch each and a minimum thickness of 0.707 inches. (See, Tension-Shear</t>
  </si>
  <si>
    <t>The strength of the of this weld is determined by</t>
  </si>
  <si>
    <t>the properties of the electrode and the quality</t>
  </si>
  <si>
    <t xml:space="preserve">            Weld size = w</t>
  </si>
  <si>
    <t>Weld thickness, t = w * SIN(A)</t>
  </si>
  <si>
    <t xml:space="preserve">    Shear Angle, A = 45 (deg)</t>
  </si>
  <si>
    <t xml:space="preserve">                        t = 0.707 * w</t>
  </si>
  <si>
    <t>Weld tension force</t>
  </si>
  <si>
    <t>Weld shear force</t>
  </si>
  <si>
    <t xml:space="preserve">Tension load </t>
  </si>
  <si>
    <t>Fracture Plane Angle ( A )?</t>
  </si>
  <si>
    <t>AWS Code Allowable stress in tension and shear, St = 13,600 ( lb/in^2 ) unless otherwise specified.</t>
  </si>
  <si>
    <t>Number of Spot welds,  N =</t>
  </si>
  <si>
    <t xml:space="preserve"> average stress, therefore the strength reduction factor is 0.75.</t>
  </si>
  <si>
    <t>0.75 * Ss * A * N * e</t>
  </si>
  <si>
    <t>Plug Weld Strength</t>
  </si>
  <si>
    <t>Plug weld shear strength,  P =</t>
  </si>
  <si>
    <t>Plug Weld</t>
  </si>
  <si>
    <t>Sv =</t>
  </si>
  <si>
    <t>Max weld shear per inch,  Fm =</t>
  </si>
  <si>
    <t>Cantilever beam end load from above,  P =</t>
  </si>
  <si>
    <t xml:space="preserve">of the bracket is replaced with an equivalent </t>
  </si>
  <si>
    <t>The applied shear load ( V ) is balanced by weld shear force ( Fp ) lbs/in.</t>
  </si>
  <si>
    <t>The torque  ( T ) is balanced by shear forces ( Fx ) lbs/in, and ( Fy ) lbs/in.</t>
  </si>
  <si>
    <t>Equilibrium of Forces ( Referring to the adjacent figure )</t>
  </si>
  <si>
    <t>Intermittent Weld Size</t>
  </si>
  <si>
    <t>The minimum weld size ( w ) is equal to the ratio of applied shear stress to</t>
  </si>
  <si>
    <t>Bending moment,  M =</t>
  </si>
  <si>
    <t>Single weld size,  w =</t>
  </si>
  <si>
    <t>Weld  length,  D =</t>
  </si>
  <si>
    <t>Max stress due to bending,  Sb =</t>
  </si>
  <si>
    <t xml:space="preserve">Sb * w  </t>
  </si>
  <si>
    <t>Fillet weld size, w =</t>
  </si>
  <si>
    <t>Applied Torque, T =</t>
  </si>
  <si>
    <t>Ix =</t>
  </si>
  <si>
    <t xml:space="preserve"> c =</t>
  </si>
  <si>
    <t>Referring to the vertical line below:</t>
  </si>
  <si>
    <t>Max stress due to torque,  S =</t>
  </si>
  <si>
    <t>c =</t>
  </si>
  <si>
    <t>S =</t>
  </si>
  <si>
    <t>T*c / Jv</t>
  </si>
  <si>
    <t>See the figure, right.</t>
  </si>
  <si>
    <t>Bending moment, M =</t>
  </si>
  <si>
    <t>Weld  width,  H =</t>
  </si>
  <si>
    <t>The area moment of inertia is equal to that</t>
  </si>
  <si>
    <t>I outside - I inside</t>
  </si>
  <si>
    <t>Outer area moment of inertia, Io =</t>
  </si>
  <si>
    <t>of the inner subtracted from the outer,    Ix =</t>
  </si>
  <si>
    <t>( H * D^3 / 12 )</t>
  </si>
  <si>
    <t>Inner area moment of inertia, Io =</t>
  </si>
  <si>
    <t>( (H-2*w) * (D-2*w)^3 / 12 )</t>
  </si>
  <si>
    <t>Io =</t>
  </si>
  <si>
    <t>Applied torque, T =</t>
  </si>
  <si>
    <t>H * D * ( H^2 + D^2 ) / 12</t>
  </si>
  <si>
    <t>Jo =</t>
  </si>
  <si>
    <t>( (H-2*w) * (D-2*w) * ( (H-2*w)^2 + (D-2*w)^2 ) / 12 )</t>
  </si>
  <si>
    <t>Ji =</t>
  </si>
  <si>
    <t xml:space="preserve"> of the rectangle is Jt:                           Jt =</t>
  </si>
  <si>
    <t>Jo + Ji</t>
  </si>
  <si>
    <t>T * R / Jt</t>
  </si>
  <si>
    <t>M * c / Ix</t>
  </si>
  <si>
    <t>Max distance from line CG to corner, R =</t>
  </si>
  <si>
    <t>( ( D / 2 )^2 + ( H / 2 )^2 )^0.5</t>
  </si>
  <si>
    <t>Max stress due to torque,  St =</t>
  </si>
  <si>
    <t>Beam end load,  V =</t>
  </si>
  <si>
    <t xml:space="preserve">many types of welds. The calculations within this live spreadsheet will facilitate the initial </t>
  </si>
  <si>
    <t xml:space="preserve">design and engineering of many types of weldments. When various factors are typed into </t>
  </si>
  <si>
    <t xml:space="preserve">the Input cells, Excel will calculate results automatically. In addition, the powerful tool, </t>
  </si>
  <si>
    <t>Spread Sheet Method:</t>
  </si>
  <si>
    <t>1. Type in values for the input data.</t>
  </si>
  <si>
    <t>2. Enter.</t>
  </si>
  <si>
    <t>1. Welds in Tension and Shear</t>
  </si>
  <si>
    <t>2. Welds in Bending and torque</t>
  </si>
  <si>
    <t>3. Long Welds</t>
  </si>
  <si>
    <t>(P*SIN (A))*((COS (A)+SIN (A)) / ( w * L )</t>
  </si>
  <si>
    <t>2*Fn*COS(90 - A) =</t>
  </si>
  <si>
    <t xml:space="preserve">2*Fs*COS (A) </t>
  </si>
  <si>
    <t>2*Fs*SIN(A) + 2*Fn*SIN(90 - A)</t>
  </si>
  <si>
    <t>2*Fs*SIN (A) + 2*Fn*COS(A)</t>
  </si>
  <si>
    <t>2*Fs*SIN(A)  2*(Fs*COS(A) / SIN(A))*COS(A)</t>
  </si>
  <si>
    <t>Rev 29 Nov 07</t>
  </si>
  <si>
    <t>(lb/in^2 / in weld)</t>
  </si>
  <si>
    <t>Rev 29Nov07</t>
  </si>
  <si>
    <t>Max weld stress per inch due to bending,  Fw =</t>
  </si>
  <si>
    <t>Fillet weld size ( w ) is specified in the weld symbol.</t>
  </si>
  <si>
    <t xml:space="preserve">Fillet weld effective thickness ( t ) is measured on the </t>
  </si>
  <si>
    <t>2 *w * D^3 / 12</t>
  </si>
  <si>
    <t>M * (D/2) / I2</t>
  </si>
  <si>
    <t>M259 WELDMENT STRENGTH EXCEL CALCULATIONS</t>
  </si>
  <si>
    <r>
      <t xml:space="preserve">This </t>
    </r>
    <r>
      <rPr>
        <b/>
        <sz val="12"/>
        <rFont val="Arial"/>
        <family val="2"/>
      </rPr>
      <t xml:space="preserve">2 PDH course </t>
    </r>
    <r>
      <rPr>
        <sz val="12"/>
        <rFont val="Arial"/>
        <family val="2"/>
      </rPr>
      <t xml:space="preserve">can be used to calculate the: shear, bending, and torsion strength of </t>
    </r>
  </si>
  <si>
    <r>
      <t xml:space="preserve">"Goal Seek" can be used to optimize each </t>
    </r>
    <r>
      <rPr>
        <b/>
        <sz val="12"/>
        <color indexed="10"/>
        <rFont val="Arial"/>
        <family val="2"/>
      </rPr>
      <t>Calculation</t>
    </r>
    <r>
      <rPr>
        <sz val="12"/>
        <rFont val="Arial"/>
        <family val="2"/>
      </rPr>
      <t xml:space="preserve">. </t>
    </r>
  </si>
  <si>
    <r>
      <t>Select:</t>
    </r>
    <r>
      <rPr>
        <b/>
        <sz val="12"/>
        <rFont val="Arial"/>
        <family val="2"/>
      </rPr>
      <t xml:space="preserve"> Tools &gt; Goal Seek…&gt; </t>
    </r>
    <r>
      <rPr>
        <sz val="12"/>
        <rFont val="Arial"/>
        <family val="2"/>
      </rPr>
      <t>Pick allowable load cell B268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above,</t>
    </r>
    <r>
      <rPr>
        <b/>
        <sz val="12"/>
        <rFont val="Arial"/>
        <family val="2"/>
      </rPr>
      <t xml:space="preserve"> 12000 &gt; </t>
    </r>
    <r>
      <rPr>
        <sz val="10"/>
        <rFont val="Arial"/>
        <family val="2"/>
      </rPr>
      <t/>
    </r>
  </si>
  <si>
    <r>
      <t xml:space="preserve">Type To value, </t>
    </r>
    <r>
      <rPr>
        <b/>
        <sz val="12"/>
        <rFont val="Arial"/>
        <family val="2"/>
      </rPr>
      <t>22000</t>
    </r>
    <r>
      <rPr>
        <sz val="12"/>
        <rFont val="Arial"/>
        <family val="2"/>
      </rPr>
      <t xml:space="preserve"> &gt; By changing cell: Pick weld size cell B259, </t>
    </r>
    <r>
      <rPr>
        <b/>
        <sz val="12"/>
        <rFont val="Arial"/>
        <family val="2"/>
      </rPr>
      <t>0.266</t>
    </r>
    <r>
      <rPr>
        <sz val="12"/>
        <rFont val="Arial"/>
        <family val="2"/>
      </rPr>
      <t xml:space="preserve"> </t>
    </r>
  </si>
  <si>
    <r>
      <t>Note</t>
    </r>
    <r>
      <rPr>
        <sz val="12"/>
        <rFont val="Arial"/>
        <family val="2"/>
      </rPr>
      <t>: The peak shear stress in a round area is 4 / 3 times the</t>
    </r>
  </si>
  <si>
    <t>MATH TOOLS</t>
  </si>
  <si>
    <t xml:space="preserve">Unlock a worksheet with "Unprotect" </t>
  </si>
  <si>
    <t>Step-1</t>
  </si>
  <si>
    <t xml:space="preserve">HOME </t>
  </si>
  <si>
    <t>Step-2</t>
  </si>
  <si>
    <t xml:space="preserve">Format </t>
  </si>
  <si>
    <t>Step-3</t>
  </si>
  <si>
    <t>Unprotect Sheet</t>
  </si>
  <si>
    <t>Step-4</t>
  </si>
  <si>
    <t>OK</t>
  </si>
  <si>
    <t xml:space="preserve">Lock a worksheet with "Protect Sheet" </t>
  </si>
  <si>
    <t>Protect Sheet Box Opens</t>
  </si>
  <si>
    <t>Step-5</t>
  </si>
  <si>
    <t>NEW EXCEL</t>
  </si>
  <si>
    <t>OLD EXCEL</t>
  </si>
  <si>
    <t>Step-6</t>
  </si>
  <si>
    <t>Step-7</t>
  </si>
  <si>
    <t>Protect Sheet</t>
  </si>
  <si>
    <t>Password is not required.</t>
  </si>
  <si>
    <t>Check the "Protect Sheet" two boxes right &gt;&gt;</t>
  </si>
  <si>
    <t>Select Unlocked Cells</t>
  </si>
  <si>
    <t>Format Cells</t>
  </si>
  <si>
    <t>Step</t>
  </si>
  <si>
    <t>Enter</t>
  </si>
  <si>
    <t>Follow Steps&gt;&gt;</t>
  </si>
  <si>
    <t xml:space="preserve">GOAL SEEK </t>
  </si>
  <si>
    <t>H =</t>
  </si>
  <si>
    <t>Format</t>
  </si>
  <si>
    <t>llbs</t>
  </si>
  <si>
    <t>Horizontal force, H =</t>
  </si>
  <si>
    <t>TAN(A) =</t>
  </si>
  <si>
    <t>V/H</t>
  </si>
  <si>
    <t>Number</t>
  </si>
  <si>
    <t>Vertical force, V =</t>
  </si>
  <si>
    <t>=</t>
  </si>
  <si>
    <t>number</t>
  </si>
  <si>
    <t>Decimal Places</t>
  </si>
  <si>
    <t>Angle  A =</t>
  </si>
  <si>
    <t>ATAN(V/H)</t>
  </si>
  <si>
    <t>Resultant force, R =</t>
  </si>
  <si>
    <t>( H^2 + V^2 )^(1/2)</t>
  </si>
  <si>
    <t>radians</t>
  </si>
  <si>
    <t>A radians =</t>
  </si>
  <si>
    <t xml:space="preserve">57.3*A </t>
  </si>
  <si>
    <t>degrees</t>
  </si>
  <si>
    <t>Angle, A =</t>
  </si>
  <si>
    <t>57.30 * ATAN(V / H)</t>
  </si>
  <si>
    <t>57.3*A</t>
  </si>
  <si>
    <t>GOAL SEEK method</t>
  </si>
  <si>
    <t>Step-1  Select the green cell C38 containing a formula.</t>
  </si>
  <si>
    <t>Step-2  Select: DATA  &gt; What-If Analysis &gt; Goal Seek</t>
  </si>
  <si>
    <t>Step-3  To value: 14, for example</t>
  </si>
  <si>
    <t>Step-4  Pick cell containing value to be changed by Excel: C34 or C35 &gt; OK</t>
  </si>
  <si>
    <t>Select &gt; OK and "Goal Seek Status'&gt;&gt; will open &gt; OK</t>
  </si>
  <si>
    <r>
      <t xml:space="preserve">3. </t>
    </r>
    <r>
      <rPr>
        <b/>
        <sz val="12"/>
        <rFont val="Arial"/>
        <family val="2"/>
      </rPr>
      <t>Answer:  X = will be calculated.</t>
    </r>
  </si>
  <si>
    <r>
      <t xml:space="preserve">4. Automatic calculations are </t>
    </r>
    <r>
      <rPr>
        <b/>
        <sz val="12"/>
        <rFont val="Arial"/>
        <family val="2"/>
      </rPr>
      <t>bold type</t>
    </r>
    <r>
      <rPr>
        <sz val="12"/>
        <rFont val="Arial"/>
        <family val="2"/>
      </rPr>
      <t>.</t>
    </r>
  </si>
  <si>
    <t xml:space="preserve">John Andrew LLC </t>
  </si>
  <si>
    <t>Copyright © 11/22/2022</t>
  </si>
  <si>
    <t>Applied load ( P ) is reacted by a tensile stress ( St ) in the V-butt weld.</t>
  </si>
  <si>
    <t>4. Math Tools</t>
  </si>
  <si>
    <t>File &gt; Options &gt; Add-ins &gt; Manage Evcel Add-ins &gt; Go &gt; Solver</t>
  </si>
  <si>
    <t>If Solver is not installed, select:</t>
  </si>
  <si>
    <r>
      <rPr>
        <b/>
        <sz val="12"/>
        <rFont val="Arial"/>
        <family val="2"/>
      </rPr>
      <t xml:space="preserve">Options </t>
    </r>
    <r>
      <rPr>
        <sz val="12"/>
        <rFont val="Arial"/>
        <family val="2"/>
      </rPr>
      <t>is at the bottom of your screen.</t>
    </r>
  </si>
  <si>
    <t>The "Excel Options" menu with "Add-ins" shown upper right will open.</t>
  </si>
  <si>
    <t>Select "Solver Add-in".</t>
  </si>
  <si>
    <r>
      <t xml:space="preserve">Select </t>
    </r>
    <r>
      <rPr>
        <b/>
        <sz val="12"/>
        <rFont val="Arial"/>
        <family val="2"/>
      </rPr>
      <t>Max and Solve</t>
    </r>
  </si>
  <si>
    <r>
      <t xml:space="preserve">By Changing Variable Cells: Select  </t>
    </r>
    <r>
      <rPr>
        <b/>
        <sz val="12"/>
        <rFont val="Arial"/>
        <family val="2"/>
      </rPr>
      <t>"45.00"</t>
    </r>
    <r>
      <rPr>
        <sz val="12"/>
        <rFont val="Arial"/>
        <family val="2"/>
      </rPr>
      <t xml:space="preserve"> cell</t>
    </r>
  </si>
  <si>
    <r>
      <t xml:space="preserve">Set Objective: </t>
    </r>
    <r>
      <rPr>
        <b/>
        <sz val="12"/>
        <rFont val="Arial"/>
        <family val="2"/>
      </rPr>
      <t>Yellow cell</t>
    </r>
    <r>
      <rPr>
        <sz val="12"/>
        <rFont val="Arial"/>
        <family val="2"/>
      </rPr>
      <t xml:space="preserve"> (Must be an equation)</t>
    </r>
  </si>
  <si>
    <t>A = 67.50 deg</t>
  </si>
  <si>
    <t>Ss = 13600 psi</t>
  </si>
  <si>
    <t>WELDS IN COMBINED SHEAR &amp; TENSION BY CALCULATION</t>
  </si>
  <si>
    <t>GOAL SEEK EXAMPLE ONLY</t>
  </si>
  <si>
    <r>
      <t xml:space="preserve">Find the fillet weld size, </t>
    </r>
    <r>
      <rPr>
        <b/>
        <sz val="12"/>
        <rFont val="Arial"/>
        <family val="2"/>
      </rPr>
      <t>w</t>
    </r>
    <r>
      <rPr>
        <sz val="12"/>
        <rFont val="Arial"/>
        <family val="2"/>
      </rPr>
      <t xml:space="preserve"> required to support </t>
    </r>
  </si>
  <si>
    <r>
      <t>tension at top, compression at bot,</t>
    </r>
    <r>
      <rPr>
        <b/>
        <sz val="12"/>
        <rFont val="Arial"/>
        <family val="2"/>
      </rPr>
      <t xml:space="preserve"> Sb =</t>
    </r>
  </si>
  <si>
    <r>
      <t>at the neutral axis,</t>
    </r>
    <r>
      <rPr>
        <b/>
        <sz val="12"/>
        <rFont val="Arial"/>
        <family val="2"/>
      </rPr>
      <t xml:space="preserve"> Sb =</t>
    </r>
  </si>
  <si>
    <t>END OF SECTION</t>
  </si>
  <si>
    <r>
      <t>established by the American Welding Society</t>
    </r>
    <r>
      <rPr>
        <sz val="12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</si>
</sst>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"/>
    <numFmt numFmtId="167" formatCode="0.000000"/>
  </numFmts>
  <fonts count="1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6"/>
      <color rgb="FF0F0F0F"/>
      <name val="Roboto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3" fillId="0" borderId="0" xfId="0" applyFont="1" applyProtection="1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Protection="1">
      <protection locked="0"/>
    </xf>
    <xf numFmtId="0" fontId="3" fillId="0" borderId="0" xfId="0" applyFont="1" applyAlignment="1">
      <alignment horizontal="justify"/>
    </xf>
    <xf numFmtId="0" fontId="3" fillId="0" borderId="0" xfId="0" applyFont="1"/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horizontal="left"/>
    </xf>
    <xf numFmtId="0" fontId="3" fillId="3" borderId="0" xfId="0" applyFont="1" applyFill="1" applyAlignment="1">
      <alignment horizontal="left"/>
    </xf>
    <xf numFmtId="0" fontId="3" fillId="0" borderId="0" xfId="0" applyFont="1" applyAlignment="1" applyProtection="1">
      <alignment horizontal="center"/>
      <protection locked="0"/>
    </xf>
    <xf numFmtId="0" fontId="4" fillId="0" borderId="0" xfId="0" applyFont="1" applyProtection="1"/>
    <xf numFmtId="0" fontId="5" fillId="0" borderId="0" xfId="0" applyFont="1" applyAlignment="1">
      <alignment horizontal="center"/>
    </xf>
    <xf numFmtId="0" fontId="3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center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right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</xf>
    <xf numFmtId="164" fontId="4" fillId="0" borderId="1" xfId="0" applyNumberFormat="1" applyFont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164" fontId="4" fillId="0" borderId="1" xfId="0" applyNumberFormat="1" applyFont="1" applyBorder="1" applyAlignment="1" applyProtection="1">
      <alignment horizontal="center"/>
    </xf>
    <xf numFmtId="9" fontId="4" fillId="0" borderId="3" xfId="0" applyNumberFormat="1" applyFont="1" applyBorder="1" applyAlignment="1" applyProtection="1">
      <alignment horizontal="center"/>
      <protection locked="0"/>
    </xf>
    <xf numFmtId="9" fontId="4" fillId="0" borderId="3" xfId="0" applyNumberFormat="1" applyFont="1" applyBorder="1" applyAlignment="1" applyProtection="1">
      <alignment horizont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right"/>
    </xf>
    <xf numFmtId="0" fontId="3" fillId="0" borderId="0" xfId="0" applyFont="1" applyAlignment="1" applyProtection="1">
      <alignment horizontal="center"/>
    </xf>
    <xf numFmtId="0" fontId="3" fillId="0" borderId="4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</xf>
    <xf numFmtId="0" fontId="4" fillId="0" borderId="3" xfId="0" applyFont="1" applyBorder="1" applyAlignment="1" applyProtection="1">
      <alignment horizontal="center"/>
      <protection locked="0"/>
    </xf>
    <xf numFmtId="1" fontId="3" fillId="0" borderId="4" xfId="0" applyNumberFormat="1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3" fontId="4" fillId="0" borderId="2" xfId="0" applyNumberFormat="1" applyFont="1" applyBorder="1" applyAlignment="1" applyProtection="1">
      <alignment horizontal="center"/>
      <protection locked="0"/>
    </xf>
    <xf numFmtId="3" fontId="4" fillId="0" borderId="0" xfId="0" applyNumberFormat="1" applyFont="1" applyBorder="1" applyAlignment="1">
      <alignment horizontal="center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 applyProtection="1">
      <alignment horizontal="center"/>
      <protection locked="0"/>
    </xf>
    <xf numFmtId="9" fontId="4" fillId="0" borderId="0" xfId="0" applyNumberFormat="1" applyFont="1" applyBorder="1" applyAlignment="1">
      <alignment horizontal="center"/>
    </xf>
    <xf numFmtId="9" fontId="4" fillId="0" borderId="0" xfId="0" applyNumberFormat="1" applyFont="1" applyBorder="1" applyAlignment="1" applyProtection="1">
      <alignment horizontal="center"/>
      <protection locked="0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/>
    <xf numFmtId="0" fontId="4" fillId="0" borderId="0" xfId="0" applyFont="1" applyAlignment="1"/>
    <xf numFmtId="0" fontId="7" fillId="0" borderId="0" xfId="0" applyFont="1" applyAlignment="1">
      <alignment horizontal="left"/>
    </xf>
    <xf numFmtId="0" fontId="3" fillId="4" borderId="0" xfId="0" applyFont="1" applyFill="1"/>
    <xf numFmtId="0" fontId="4" fillId="4" borderId="0" xfId="0" applyFont="1" applyFill="1"/>
    <xf numFmtId="0" fontId="4" fillId="4" borderId="0" xfId="0" applyFont="1" applyFill="1" applyAlignment="1">
      <alignment horizontal="right"/>
    </xf>
    <xf numFmtId="0" fontId="4" fillId="4" borderId="0" xfId="0" applyFont="1" applyFill="1" applyAlignment="1">
      <alignment horizontal="center"/>
    </xf>
    <xf numFmtId="0" fontId="4" fillId="4" borderId="0" xfId="0" applyFont="1" applyFill="1" applyAlignment="1">
      <alignment horizontal="left"/>
    </xf>
    <xf numFmtId="0" fontId="4" fillId="0" borderId="0" xfId="0" applyFont="1" applyAlignment="1" applyProtection="1">
      <alignment horizontal="right"/>
      <protection locked="0"/>
    </xf>
    <xf numFmtId="0" fontId="5" fillId="4" borderId="0" xfId="0" applyFont="1" applyFill="1" applyAlignment="1">
      <alignment horizontal="center"/>
    </xf>
    <xf numFmtId="1" fontId="4" fillId="4" borderId="0" xfId="0" applyNumberFormat="1" applyFont="1" applyFill="1" applyAlignment="1">
      <alignment horizontal="center"/>
    </xf>
    <xf numFmtId="2" fontId="4" fillId="4" borderId="0" xfId="0" applyNumberFormat="1" applyFont="1" applyFill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2" fontId="4" fillId="4" borderId="4" xfId="0" applyNumberFormat="1" applyFont="1" applyFill="1" applyBorder="1" applyAlignment="1">
      <alignment horizontal="center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left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0" fontId="3" fillId="4" borderId="0" xfId="0" applyFont="1" applyFill="1" applyAlignment="1">
      <alignment horizontal="right"/>
    </xf>
    <xf numFmtId="1" fontId="3" fillId="4" borderId="4" xfId="0" applyNumberFormat="1" applyFont="1" applyFill="1" applyBorder="1" applyAlignment="1">
      <alignment horizontal="center"/>
    </xf>
    <xf numFmtId="165" fontId="4" fillId="0" borderId="0" xfId="0" applyNumberFormat="1" applyFont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3" fillId="0" borderId="0" xfId="0" applyNumberFormat="1" applyFont="1" applyAlignment="1" applyProtection="1">
      <alignment horizontal="center"/>
      <protection locked="0"/>
    </xf>
    <xf numFmtId="0" fontId="4" fillId="0" borderId="0" xfId="0" applyFont="1" applyFill="1" applyAlignment="1">
      <alignment horizontal="left"/>
    </xf>
    <xf numFmtId="2" fontId="4" fillId="0" borderId="0" xfId="0" applyNumberFormat="1" applyFont="1" applyAlignment="1">
      <alignment horizontal="center"/>
    </xf>
    <xf numFmtId="9" fontId="4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5" fillId="0" borderId="0" xfId="0" applyFont="1"/>
    <xf numFmtId="3" fontId="4" fillId="0" borderId="0" xfId="0" applyNumberFormat="1" applyFont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3" fillId="0" borderId="0" xfId="0" applyFont="1" applyAlignment="1" applyProtection="1">
      <alignment horizontal="left"/>
      <protection locked="0"/>
    </xf>
    <xf numFmtId="0" fontId="5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/>
    <xf numFmtId="0" fontId="4" fillId="0" borderId="0" xfId="0" quotePrefix="1" applyFont="1"/>
    <xf numFmtId="0" fontId="4" fillId="0" borderId="1" xfId="0" applyFont="1" applyFill="1" applyBorder="1" applyAlignment="1" applyProtection="1">
      <alignment horizontal="center"/>
      <protection locked="0"/>
    </xf>
    <xf numFmtId="0" fontId="8" fillId="0" borderId="0" xfId="0" applyFont="1" applyAlignment="1">
      <alignment horizontal="left"/>
    </xf>
    <xf numFmtId="15" fontId="4" fillId="0" borderId="0" xfId="0" applyNumberFormat="1" applyFont="1"/>
    <xf numFmtId="0" fontId="6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right"/>
    </xf>
    <xf numFmtId="0" fontId="9" fillId="0" borderId="0" xfId="0" applyFont="1" applyProtection="1"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3" fillId="0" borderId="0" xfId="0" applyFont="1" applyAlignment="1" applyProtection="1">
      <alignment horizontal="right"/>
      <protection locked="0"/>
    </xf>
    <xf numFmtId="0" fontId="9" fillId="0" borderId="0" xfId="0" applyFont="1" applyAlignment="1" applyProtection="1">
      <alignment horizontal="left"/>
      <protection locked="0"/>
    </xf>
    <xf numFmtId="0" fontId="9" fillId="0" borderId="0" xfId="0" quotePrefix="1" applyFont="1" applyAlignment="1" applyProtection="1">
      <alignment horizontal="right"/>
      <protection locked="0"/>
    </xf>
    <xf numFmtId="165" fontId="3" fillId="0" borderId="0" xfId="0" applyNumberFormat="1" applyFont="1" applyAlignment="1" applyProtection="1">
      <alignment horizontal="center"/>
      <protection locked="0"/>
    </xf>
    <xf numFmtId="0" fontId="10" fillId="0" borderId="0" xfId="0" applyFont="1"/>
    <xf numFmtId="167" fontId="3" fillId="0" borderId="0" xfId="0" applyNumberFormat="1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left"/>
      <protection locked="0"/>
    </xf>
    <xf numFmtId="2" fontId="3" fillId="2" borderId="0" xfId="0" applyNumberFormat="1" applyFont="1" applyFill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right"/>
      <protection locked="0"/>
    </xf>
    <xf numFmtId="2" fontId="10" fillId="0" borderId="0" xfId="0" applyNumberFormat="1" applyFont="1" applyAlignment="1" applyProtection="1">
      <alignment horizontal="left"/>
      <protection locked="0"/>
    </xf>
    <xf numFmtId="0" fontId="9" fillId="0" borderId="0" xfId="0" applyFont="1" applyAlignment="1">
      <alignment horizontal="left"/>
    </xf>
    <xf numFmtId="2" fontId="3" fillId="5" borderId="4" xfId="0" applyNumberFormat="1" applyFont="1" applyFill="1" applyBorder="1" applyAlignment="1" applyProtection="1">
      <alignment horizontal="left"/>
      <protection locked="0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2" fontId="3" fillId="2" borderId="4" xfId="0" applyNumberFormat="1" applyFont="1" applyFill="1" applyBorder="1" applyAlignment="1" applyProtection="1">
      <alignment horizontal="left"/>
      <protection locked="0"/>
    </xf>
    <xf numFmtId="165" fontId="10" fillId="0" borderId="0" xfId="0" applyNumberFormat="1" applyFont="1" applyAlignment="1" applyProtection="1">
      <alignment horizontal="left"/>
      <protection locked="0"/>
    </xf>
    <xf numFmtId="165" fontId="10" fillId="0" borderId="0" xfId="0" applyNumberFormat="1" applyFont="1" applyAlignment="1">
      <alignment horizontal="left"/>
    </xf>
    <xf numFmtId="0" fontId="3" fillId="0" borderId="0" xfId="0" quotePrefix="1" applyFont="1" applyAlignment="1">
      <alignment horizontal="right"/>
    </xf>
    <xf numFmtId="166" fontId="3" fillId="6" borderId="4" xfId="0" applyNumberFormat="1" applyFont="1" applyFill="1" applyBorder="1" applyAlignment="1" applyProtection="1">
      <alignment horizontal="left"/>
      <protection locked="0"/>
    </xf>
    <xf numFmtId="2" fontId="10" fillId="0" borderId="0" xfId="0" applyNumberFormat="1" applyFont="1" applyAlignment="1">
      <alignment horizontal="left"/>
    </xf>
    <xf numFmtId="2" fontId="3" fillId="7" borderId="4" xfId="0" applyNumberFormat="1" applyFont="1" applyFill="1" applyBorder="1" applyAlignment="1" applyProtection="1">
      <alignment horizontal="left"/>
      <protection locked="0"/>
    </xf>
    <xf numFmtId="0" fontId="9" fillId="0" borderId="0" xfId="0" applyFont="1" applyAlignment="1" applyProtection="1">
      <alignment horizontal="right"/>
      <protection locked="0"/>
    </xf>
    <xf numFmtId="1" fontId="5" fillId="0" borderId="0" xfId="0" applyNumberFormat="1" applyFont="1" applyAlignment="1" applyProtection="1">
      <alignment horizontal="center"/>
      <protection locked="0"/>
    </xf>
    <xf numFmtId="0" fontId="3" fillId="8" borderId="0" xfId="0" applyFont="1" applyFill="1" applyAlignment="1">
      <alignment horizontal="left"/>
    </xf>
    <xf numFmtId="0" fontId="4" fillId="8" borderId="0" xfId="0" applyFont="1" applyFill="1" applyAlignment="1">
      <alignment horizontal="center"/>
    </xf>
    <xf numFmtId="0" fontId="4" fillId="8" borderId="0" xfId="0" applyFont="1" applyFill="1"/>
    <xf numFmtId="0" fontId="4" fillId="8" borderId="0" xfId="0" applyFont="1" applyFill="1" applyProtection="1">
      <protection locked="0"/>
    </xf>
    <xf numFmtId="0" fontId="3" fillId="8" borderId="0" xfId="0" applyFont="1" applyFill="1"/>
    <xf numFmtId="0" fontId="3" fillId="3" borderId="0" xfId="0" applyFont="1" applyFill="1" applyBorder="1" applyAlignment="1">
      <alignment horizontal="left"/>
    </xf>
    <xf numFmtId="0" fontId="4" fillId="3" borderId="0" xfId="0" applyFont="1" applyFill="1" applyAlignment="1">
      <alignment horizontal="left"/>
    </xf>
    <xf numFmtId="0" fontId="3" fillId="9" borderId="4" xfId="0" applyFont="1" applyFill="1" applyBorder="1" applyAlignment="1" applyProtection="1">
      <alignment horizontal="center"/>
      <protection locked="0"/>
    </xf>
    <xf numFmtId="0" fontId="3" fillId="9" borderId="4" xfId="0" applyFont="1" applyFill="1" applyBorder="1" applyAlignment="1" applyProtection="1">
      <alignment horizontal="center"/>
    </xf>
    <xf numFmtId="0" fontId="4" fillId="8" borderId="2" xfId="0" applyFont="1" applyFill="1" applyBorder="1" applyAlignment="1" applyProtection="1">
      <alignment horizontal="center"/>
      <protection locked="0"/>
    </xf>
    <xf numFmtId="0" fontId="4" fillId="8" borderId="2" xfId="0" applyFont="1" applyFill="1" applyBorder="1" applyAlignment="1" applyProtection="1">
      <alignment horizontal="center"/>
    </xf>
    <xf numFmtId="0" fontId="11" fillId="0" borderId="0" xfId="0" applyFont="1" applyAlignment="1">
      <alignment vertical="center" wrapText="1"/>
    </xf>
    <xf numFmtId="0" fontId="3" fillId="4" borderId="0" xfId="0" applyFont="1" applyFill="1" applyAlignment="1" applyProtection="1">
      <alignment horizontal="left"/>
    </xf>
    <xf numFmtId="0" fontId="5" fillId="4" borderId="0" xfId="0" applyFont="1" applyFill="1" applyAlignment="1" applyProtection="1">
      <alignment horizontal="center"/>
    </xf>
    <xf numFmtId="0" fontId="4" fillId="4" borderId="0" xfId="0" applyFont="1" applyFill="1" applyProtection="1"/>
    <xf numFmtId="0" fontId="4" fillId="4" borderId="0" xfId="0" applyFont="1" applyFill="1" applyAlignment="1" applyProtection="1">
      <alignment horizontal="right"/>
    </xf>
    <xf numFmtId="1" fontId="4" fillId="4" borderId="0" xfId="0" applyNumberFormat="1" applyFont="1" applyFill="1" applyAlignment="1" applyProtection="1">
      <alignment horizontal="center"/>
    </xf>
    <xf numFmtId="0" fontId="4" fillId="4" borderId="0" xfId="0" applyFont="1" applyFill="1" applyAlignment="1" applyProtection="1">
      <alignment horizontal="left"/>
    </xf>
    <xf numFmtId="2" fontId="4" fillId="4" borderId="0" xfId="0" applyNumberFormat="1" applyFont="1" applyFill="1" applyAlignment="1" applyProtection="1">
      <alignment horizontal="center"/>
    </xf>
    <xf numFmtId="2" fontId="4" fillId="4" borderId="4" xfId="0" applyNumberFormat="1" applyFont="1" applyFill="1" applyBorder="1" applyAlignment="1" applyProtection="1">
      <alignment horizontal="center"/>
    </xf>
    <xf numFmtId="0" fontId="3" fillId="4" borderId="0" xfId="0" applyFont="1" applyFill="1" applyAlignment="1" applyProtection="1">
      <alignment horizontal="right"/>
    </xf>
    <xf numFmtId="0" fontId="3" fillId="4" borderId="0" xfId="0" applyFont="1" applyFill="1" applyProtection="1"/>
    <xf numFmtId="0" fontId="4" fillId="0" borderId="0" xfId="0" applyFont="1" applyAlignment="1" applyProtection="1">
      <protection locked="0"/>
    </xf>
    <xf numFmtId="0" fontId="3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Border="1" applyAlignment="1">
      <alignment horizontal="right"/>
    </xf>
    <xf numFmtId="1" fontId="3" fillId="0" borderId="0" xfId="0" applyNumberFormat="1" applyFont="1" applyBorder="1" applyAlignment="1" applyProtection="1">
      <alignment horizontal="center"/>
      <protection locked="0"/>
    </xf>
    <xf numFmtId="1" fontId="3" fillId="9" borderId="4" xfId="0" applyNumberFormat="1" applyFont="1" applyFill="1" applyBorder="1" applyAlignment="1" applyProtection="1">
      <alignment horizontal="center"/>
    </xf>
    <xf numFmtId="0" fontId="5" fillId="0" borderId="0" xfId="0" applyFont="1" applyBorder="1"/>
    <xf numFmtId="0" fontId="3" fillId="0" borderId="0" xfId="0" applyFont="1" applyBorder="1" applyAlignment="1">
      <alignment horizontal="center"/>
    </xf>
    <xf numFmtId="3" fontId="4" fillId="8" borderId="2" xfId="0" applyNumberFormat="1" applyFont="1" applyFill="1" applyBorder="1" applyAlignment="1" applyProtection="1">
      <alignment horizontal="center"/>
    </xf>
    <xf numFmtId="164" fontId="4" fillId="8" borderId="1" xfId="0" applyNumberFormat="1" applyFont="1" applyFill="1" applyBorder="1" applyAlignment="1" applyProtection="1">
      <alignment horizontal="center"/>
    </xf>
    <xf numFmtId="0" fontId="4" fillId="8" borderId="1" xfId="0" applyFont="1" applyFill="1" applyBorder="1" applyAlignment="1" applyProtection="1">
      <alignment horizontal="center"/>
    </xf>
    <xf numFmtId="0" fontId="4" fillId="0" borderId="3" xfId="0" applyFont="1" applyBorder="1" applyAlignment="1">
      <alignment horizontal="center"/>
    </xf>
    <xf numFmtId="1" fontId="4" fillId="0" borderId="2" xfId="0" applyNumberFormat="1" applyFont="1" applyBorder="1" applyAlignment="1" applyProtection="1">
      <alignment horizontal="center"/>
      <protection locked="0"/>
    </xf>
    <xf numFmtId="166" fontId="4" fillId="0" borderId="3" xfId="0" applyNumberFormat="1" applyFont="1" applyBorder="1" applyAlignment="1" applyProtection="1">
      <alignment horizontal="center"/>
      <protection locked="0"/>
    </xf>
    <xf numFmtId="165" fontId="4" fillId="0" borderId="0" xfId="0" applyNumberFormat="1" applyFont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166" fontId="4" fillId="0" borderId="1" xfId="0" applyNumberFormat="1" applyFont="1" applyBorder="1" applyAlignment="1" applyProtection="1">
      <alignment horizontal="center"/>
      <protection locked="0"/>
    </xf>
    <xf numFmtId="1" fontId="4" fillId="0" borderId="0" xfId="0" applyNumberFormat="1" applyFont="1" applyBorder="1" applyAlignment="1" applyProtection="1">
      <alignment horizontal="center"/>
      <protection locked="0"/>
    </xf>
    <xf numFmtId="164" fontId="4" fillId="0" borderId="3" xfId="0" applyNumberFormat="1" applyFont="1" applyBorder="1" applyAlignment="1" applyProtection="1">
      <alignment horizontal="center"/>
      <protection locked="0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left"/>
    </xf>
    <xf numFmtId="1" fontId="3" fillId="0" borderId="0" xfId="0" applyNumberFormat="1" applyFont="1" applyBorder="1" applyAlignment="1" applyProtection="1">
      <alignment horizontal="center"/>
    </xf>
    <xf numFmtId="2" fontId="4" fillId="0" borderId="1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5" fillId="0" borderId="4" xfId="0" applyNumberFormat="1" applyFont="1" applyBorder="1" applyAlignment="1" applyProtection="1">
      <alignment horizontal="center"/>
      <protection locked="0"/>
    </xf>
    <xf numFmtId="0" fontId="4" fillId="0" borderId="0" xfId="0" quotePrefix="1" applyFont="1" applyAlignment="1">
      <alignment horizontal="left"/>
    </xf>
    <xf numFmtId="166" fontId="3" fillId="0" borderId="0" xfId="0" applyNumberFormat="1" applyFont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7" Type="http://schemas.openxmlformats.org/officeDocument/2006/relationships/image" Target="../media/image36.jpg"/><Relationship Id="rId2" Type="http://schemas.openxmlformats.org/officeDocument/2006/relationships/image" Target="../media/image31.tif"/><Relationship Id="rId1" Type="http://schemas.openxmlformats.org/officeDocument/2006/relationships/image" Target="../media/image30.tif"/><Relationship Id="rId6" Type="http://schemas.openxmlformats.org/officeDocument/2006/relationships/image" Target="../media/image35.jpg"/><Relationship Id="rId5" Type="http://schemas.openxmlformats.org/officeDocument/2006/relationships/image" Target="../media/image34.jpg"/><Relationship Id="rId4" Type="http://schemas.openxmlformats.org/officeDocument/2006/relationships/image" Target="../media/image3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1040253</xdr:colOff>
      <xdr:row>22</xdr:row>
      <xdr:rowOff>50800</xdr:rowOff>
    </xdr:from>
    <xdr:to>
      <xdr:col>4</xdr:col>
      <xdr:colOff>1644650</xdr:colOff>
      <xdr:row>30</xdr:row>
      <xdr:rowOff>76200</xdr:rowOff>
    </xdr:to>
    <xdr:pic>
      <xdr:nvPicPr>
        <xdr:cNvPr id="1482" name="Picture 1" descr="WELD-1">
          <a:extLst>
            <a:ext uri="{FF2B5EF4-FFF2-40B4-BE49-F238E27FC236}">
              <a16:creationId xmlns:a16="http://schemas.microsoft.com/office/drawing/2014/main" id="{CB159F1D-5DE6-1367-584D-B9FC4DB4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603" y="4413250"/>
          <a:ext cx="2699897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79</xdr:row>
      <xdr:rowOff>139700</xdr:rowOff>
    </xdr:from>
    <xdr:to>
      <xdr:col>4</xdr:col>
      <xdr:colOff>958850</xdr:colOff>
      <xdr:row>89</xdr:row>
      <xdr:rowOff>31750</xdr:rowOff>
    </xdr:to>
    <xdr:pic>
      <xdr:nvPicPr>
        <xdr:cNvPr id="1483" name="Picture 10" descr="WELD-5">
          <a:extLst>
            <a:ext uri="{FF2B5EF4-FFF2-40B4-BE49-F238E27FC236}">
              <a16:creationId xmlns:a16="http://schemas.microsoft.com/office/drawing/2014/main" id="{D1222B52-AB38-D357-7267-119A06277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5824200"/>
          <a:ext cx="2311400" cy="186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406400</xdr:colOff>
      <xdr:row>91</xdr:row>
      <xdr:rowOff>19050</xdr:rowOff>
    </xdr:from>
    <xdr:to>
      <xdr:col>3</xdr:col>
      <xdr:colOff>1993900</xdr:colOff>
      <xdr:row>99</xdr:row>
      <xdr:rowOff>82550</xdr:rowOff>
    </xdr:to>
    <xdr:pic>
      <xdr:nvPicPr>
        <xdr:cNvPr id="1484" name="Picture 11" descr="WELD-5-2">
          <a:extLst>
            <a:ext uri="{FF2B5EF4-FFF2-40B4-BE49-F238E27FC236}">
              <a16:creationId xmlns:a16="http://schemas.microsoft.com/office/drawing/2014/main" id="{EDF0149F-DB67-685E-B41D-E535F12B3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8350" y="14922500"/>
          <a:ext cx="15875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123</xdr:row>
      <xdr:rowOff>95250</xdr:rowOff>
    </xdr:from>
    <xdr:to>
      <xdr:col>4</xdr:col>
      <xdr:colOff>234950</xdr:colOff>
      <xdr:row>136</xdr:row>
      <xdr:rowOff>69850</xdr:rowOff>
    </xdr:to>
    <xdr:pic>
      <xdr:nvPicPr>
        <xdr:cNvPr id="1485" name="Picture 17" descr="WELD-9">
          <a:extLst>
            <a:ext uri="{FF2B5EF4-FFF2-40B4-BE49-F238E27FC236}">
              <a16:creationId xmlns:a16="http://schemas.microsoft.com/office/drawing/2014/main" id="{B386B413-F58B-0FD9-BC7B-C4D986FE2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20212050"/>
          <a:ext cx="20447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84</xdr:row>
      <xdr:rowOff>31750</xdr:rowOff>
    </xdr:from>
    <xdr:to>
      <xdr:col>2</xdr:col>
      <xdr:colOff>44450</xdr:colOff>
      <xdr:row>98</xdr:row>
      <xdr:rowOff>6350</xdr:rowOff>
    </xdr:to>
    <xdr:pic>
      <xdr:nvPicPr>
        <xdr:cNvPr id="1486" name="Picture 18" descr="WELD-6">
          <a:extLst>
            <a:ext uri="{FF2B5EF4-FFF2-40B4-BE49-F238E27FC236}">
              <a16:creationId xmlns:a16="http://schemas.microsoft.com/office/drawing/2014/main" id="{FA296232-BA5B-F496-1013-9EEC42FEB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3823950"/>
          <a:ext cx="2425700" cy="273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124</xdr:row>
      <xdr:rowOff>76200</xdr:rowOff>
    </xdr:from>
    <xdr:to>
      <xdr:col>2</xdr:col>
      <xdr:colOff>50800</xdr:colOff>
      <xdr:row>138</xdr:row>
      <xdr:rowOff>184150</xdr:rowOff>
    </xdr:to>
    <xdr:pic>
      <xdr:nvPicPr>
        <xdr:cNvPr id="1487" name="Picture 23" descr="WELD-10">
          <a:extLst>
            <a:ext uri="{FF2B5EF4-FFF2-40B4-BE49-F238E27FC236}">
              <a16:creationId xmlns:a16="http://schemas.microsoft.com/office/drawing/2014/main" id="{838EA822-4815-24C1-C4FA-9ACDDDF52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358100"/>
          <a:ext cx="2305050" cy="286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311150</xdr:colOff>
      <xdr:row>154</xdr:row>
      <xdr:rowOff>57150</xdr:rowOff>
    </xdr:from>
    <xdr:to>
      <xdr:col>2</xdr:col>
      <xdr:colOff>82550</xdr:colOff>
      <xdr:row>163</xdr:row>
      <xdr:rowOff>69850</xdr:rowOff>
    </xdr:to>
    <xdr:pic>
      <xdr:nvPicPr>
        <xdr:cNvPr id="1488" name="Picture 28" descr="WELD-11">
          <a:extLst>
            <a:ext uri="{FF2B5EF4-FFF2-40B4-BE49-F238E27FC236}">
              <a16:creationId xmlns:a16="http://schemas.microsoft.com/office/drawing/2014/main" id="{785543F7-6580-45E5-8637-6CD02453C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25133300"/>
          <a:ext cx="2216150" cy="178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127000</xdr:colOff>
      <xdr:row>154</xdr:row>
      <xdr:rowOff>19050</xdr:rowOff>
    </xdr:from>
    <xdr:to>
      <xdr:col>3</xdr:col>
      <xdr:colOff>1879600</xdr:colOff>
      <xdr:row>164</xdr:row>
      <xdr:rowOff>101600</xdr:rowOff>
    </xdr:to>
    <xdr:pic>
      <xdr:nvPicPr>
        <xdr:cNvPr id="1489" name="Picture 29" descr="WELD-12">
          <a:extLst>
            <a:ext uri="{FF2B5EF4-FFF2-40B4-BE49-F238E27FC236}">
              <a16:creationId xmlns:a16="http://schemas.microsoft.com/office/drawing/2014/main" id="{4B0DA0F5-16C0-F7FD-44BB-880619FEA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25095200"/>
          <a:ext cx="175260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37</xdr:row>
      <xdr:rowOff>146050</xdr:rowOff>
    </xdr:from>
    <xdr:to>
      <xdr:col>2</xdr:col>
      <xdr:colOff>372902</xdr:colOff>
      <xdr:row>50</xdr:row>
      <xdr:rowOff>76200</xdr:rowOff>
    </xdr:to>
    <xdr:pic>
      <xdr:nvPicPr>
        <xdr:cNvPr id="1494" name="Picture 40" descr="WELD-3">
          <a:extLst>
            <a:ext uri="{FF2B5EF4-FFF2-40B4-BE49-F238E27FC236}">
              <a16:creationId xmlns:a16="http://schemas.microsoft.com/office/drawing/2014/main" id="{E3EEAB21-C234-A2B7-D546-2D5426A98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7467600"/>
          <a:ext cx="2735102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355599</xdr:colOff>
      <xdr:row>51</xdr:row>
      <xdr:rowOff>44450</xdr:rowOff>
    </xdr:from>
    <xdr:to>
      <xdr:col>4</xdr:col>
      <xdr:colOff>667726</xdr:colOff>
      <xdr:row>59</xdr:row>
      <xdr:rowOff>152400</xdr:rowOff>
    </xdr:to>
    <xdr:pic>
      <xdr:nvPicPr>
        <xdr:cNvPr id="1495" name="Picture 41" descr="WELD-2">
          <a:extLst>
            <a:ext uri="{FF2B5EF4-FFF2-40B4-BE49-F238E27FC236}">
              <a16:creationId xmlns:a16="http://schemas.microsoft.com/office/drawing/2014/main" id="{A3DE98E7-D49C-FD09-63B3-1EC820162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49" y="10166350"/>
          <a:ext cx="2407627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165100</xdr:colOff>
      <xdr:row>56</xdr:row>
      <xdr:rowOff>25400</xdr:rowOff>
    </xdr:from>
    <xdr:to>
      <xdr:col>1</xdr:col>
      <xdr:colOff>2254250</xdr:colOff>
      <xdr:row>71</xdr:row>
      <xdr:rowOff>19050</xdr:rowOff>
    </xdr:to>
    <xdr:pic>
      <xdr:nvPicPr>
        <xdr:cNvPr id="1496" name="Picture 42" descr="WELD-4">
          <a:extLst>
            <a:ext uri="{FF2B5EF4-FFF2-40B4-BE49-F238E27FC236}">
              <a16:creationId xmlns:a16="http://schemas.microsoft.com/office/drawing/2014/main" id="{9296A728-A9A5-2FAF-8E06-A6165C364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100" y="11131550"/>
          <a:ext cx="208915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241300</xdr:colOff>
      <xdr:row>103</xdr:row>
      <xdr:rowOff>44450</xdr:rowOff>
    </xdr:from>
    <xdr:to>
      <xdr:col>1</xdr:col>
      <xdr:colOff>2355850</xdr:colOff>
      <xdr:row>112</xdr:row>
      <xdr:rowOff>50800</xdr:rowOff>
    </xdr:to>
    <xdr:pic>
      <xdr:nvPicPr>
        <xdr:cNvPr id="1497" name="Picture 43" descr="WELD-8">
          <a:extLst>
            <a:ext uri="{FF2B5EF4-FFF2-40B4-BE49-F238E27FC236}">
              <a16:creationId xmlns:a16="http://schemas.microsoft.com/office/drawing/2014/main" id="{DEE16846-1418-7D18-3400-446F67453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16859250"/>
          <a:ext cx="21145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323848</xdr:colOff>
      <xdr:row>42</xdr:row>
      <xdr:rowOff>158750</xdr:rowOff>
    </xdr:from>
    <xdr:to>
      <xdr:col>9</xdr:col>
      <xdr:colOff>476250</xdr:colOff>
      <xdr:row>54</xdr:row>
      <xdr:rowOff>190500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4CAADBC-D85E-A8C6-D345-4DBF87BD75BB}"/>
            </a:ext>
          </a:extLst>
        </xdr:cNvPr>
        <xdr:cNvSpPr txBox="1"/>
      </xdr:nvSpPr>
      <xdr:spPr>
        <a:xfrm>
          <a:off x="8534398" y="8483600"/>
          <a:ext cx="3416302" cy="24193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 algn="ctr">
            <a:lnSpc>
              <a:spcPts val="1200"/>
            </a:lnSpc>
          </a:pPr>
          <a:r>
            <a:rPr lang="en-US" sz="1200" b="1">
              <a:latin typeface="Arial" pitchFamily="34" charset="0"/>
              <a:cs typeface="Arial" pitchFamily="34" charset="0"/>
            </a:rPr>
            <a:t>GOAL SEEK METHOD                                             </a:t>
          </a: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>
              <a:latin typeface="Arial" pitchFamily="34" charset="0"/>
              <a:cs typeface="Arial" pitchFamily="34" charset="0"/>
            </a:rPr>
            <a:t>Step-1  Pick cell with a equation.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(Yellow)  </a:t>
          </a:r>
        </a:p>
        <a:p>
          <a:pPr>
            <a:lnSpc>
              <a:spcPts val="1200"/>
            </a:lnSpc>
          </a:pPr>
          <a:endParaRPr lang="en-US" sz="1200" b="1" baseline="0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 baseline="0">
              <a:latin typeface="Arial" pitchFamily="34" charset="0"/>
              <a:cs typeface="Arial" pitchFamily="34" charset="0"/>
            </a:rPr>
            <a:t>Step-2  Pick: Data &gt; What-If Analysis  </a:t>
          </a:r>
        </a:p>
        <a:p>
          <a:pPr>
            <a:lnSpc>
              <a:spcPts val="1200"/>
            </a:lnSpc>
          </a:pPr>
          <a:endParaRPr lang="en-US" sz="1200" b="1" baseline="0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 baseline="0">
              <a:latin typeface="Arial" pitchFamily="34" charset="0"/>
              <a:cs typeface="Arial" pitchFamily="34" charset="0"/>
            </a:rPr>
            <a:t>Step-3  Pick: Goal Seek                      </a:t>
          </a:r>
        </a:p>
        <a:p>
          <a:pPr>
            <a:lnSpc>
              <a:spcPts val="1200"/>
            </a:lnSpc>
          </a:pPr>
          <a:endParaRPr lang="en-US" sz="1200" b="1" baseline="0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 baseline="0">
              <a:latin typeface="Arial" pitchFamily="34" charset="0"/>
              <a:cs typeface="Arial" pitchFamily="34" charset="0"/>
            </a:rPr>
            <a:t>Step-4  To value:  type 30000            </a:t>
          </a:r>
        </a:p>
        <a:p>
          <a:pPr>
            <a:lnSpc>
              <a:spcPts val="1200"/>
            </a:lnSpc>
          </a:pPr>
          <a:endParaRPr lang="en-US" sz="1200" b="1" baseline="0"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latin typeface="Arial" pitchFamily="34" charset="0"/>
              <a:cs typeface="Arial" pitchFamily="34" charset="0"/>
            </a:rPr>
            <a:t>Step-5   By changing cell: Pick cell E38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1200" b="1" baseline="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Step-5   Or Pick any </a:t>
          </a:r>
          <a:r>
            <a:rPr lang="en-US" sz="1200" b="1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Input</a:t>
          </a: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cell.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387349</xdr:colOff>
      <xdr:row>6</xdr:row>
      <xdr:rowOff>69850</xdr:rowOff>
    </xdr:from>
    <xdr:to>
      <xdr:col>10</xdr:col>
      <xdr:colOff>546100</xdr:colOff>
      <xdr:row>15</xdr:row>
      <xdr:rowOff>73025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50A8B9A-5F75-4E5A-86F0-92EA270BDA75}"/>
            </a:ext>
          </a:extLst>
        </xdr:cNvPr>
        <xdr:cNvSpPr txBox="1"/>
      </xdr:nvSpPr>
      <xdr:spPr>
        <a:xfrm>
          <a:off x="7086599" y="1282700"/>
          <a:ext cx="4883151" cy="1774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DISCLAIMER: The materials contained in the online course are not intended as a representation or warranty on the part of John</a:t>
          </a:r>
          <a:r>
            <a:rPr lang="en-US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Andrew LLC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or any other person/organization named herein. The materials are for general information only. They are not a substitute for competent professional advice. Application of this information to a specific project should be reviewed by a registered professional engineer. Anyone making use of the information set forth herein does so at their own risk and assumes any and all resulting liability arising therefrom. </a:t>
          </a:r>
        </a:p>
        <a:p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en-US" sz="1100"/>
        </a:p>
      </xdr:txBody>
    </xdr:sp>
    <xdr:clientData/>
  </xdr:twoCellAnchor>
  <xdr:twoCellAnchor editAs="oneCell">
    <xdr:from>
      <xdr:col>9</xdr:col>
      <xdr:colOff>1238250</xdr:colOff>
      <xdr:row>46</xdr:row>
      <xdr:rowOff>38100</xdr:rowOff>
    </xdr:from>
    <xdr:to>
      <xdr:col>14</xdr:col>
      <xdr:colOff>6478</xdr:colOff>
      <xdr:row>54</xdr:row>
      <xdr:rowOff>31832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85FF3C-5A87-D41F-F431-75072A053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12700" y="9156700"/>
          <a:ext cx="2495678" cy="1587582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37</xdr:row>
      <xdr:rowOff>139700</xdr:rowOff>
    </xdr:from>
    <xdr:to>
      <xdr:col>13</xdr:col>
      <xdr:colOff>381112</xdr:colOff>
      <xdr:row>45</xdr:row>
      <xdr:rowOff>171534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A2FCB3-4089-B874-CE62-3DAF5532E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88900" y="7461250"/>
          <a:ext cx="2184512" cy="163203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187</xdr:row>
      <xdr:rowOff>152400</xdr:rowOff>
    </xdr:from>
    <xdr:to>
      <xdr:col>17</xdr:col>
      <xdr:colOff>235246</xdr:colOff>
      <xdr:row>207</xdr:row>
      <xdr:rowOff>44647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81430B1-B955-D127-A0F0-CB4CB135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88800" y="37280850"/>
          <a:ext cx="5753396" cy="3829247"/>
        </a:xfrm>
        <a:prstGeom prst="rect">
          <a:avLst/>
        </a:prstGeom>
      </xdr:spPr>
    </xdr:pic>
    <xdr:clientData/>
  </xdr:twoCellAnchor>
  <xdr:oneCellAnchor>
    <xdr:from>
      <xdr:col>9</xdr:col>
      <xdr:colOff>1003300</xdr:colOff>
      <xdr:row>58</xdr:row>
      <xdr:rowOff>69850</xdr:rowOff>
    </xdr:from>
    <xdr:ext cx="3377952" cy="1739900"/>
    <xdr:pic>
      <xdr:nvPicPr>
        <xdr:cNvPr id="13" name="Picture 45" descr="WELD-21">
          <a:extLst>
            <a:ext uri="{FF2B5EF4-FFF2-40B4-BE49-F238E27FC236}">
              <a16:creationId xmlns:a16="http://schemas.microsoft.com/office/drawing/2014/main" id="{11F45CE7-5E25-4C22-9CC1-5EDAAFEC1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0" y="11633200"/>
          <a:ext cx="3377952" cy="173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2070100</xdr:colOff>
      <xdr:row>187</xdr:row>
      <xdr:rowOff>133350</xdr:rowOff>
    </xdr:from>
    <xdr:to>
      <xdr:col>8</xdr:col>
      <xdr:colOff>724196</xdr:colOff>
      <xdr:row>216</xdr:row>
      <xdr:rowOff>287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7EEDBA1-533D-FB58-C218-CB48F1E0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051550" y="37261800"/>
          <a:ext cx="5766096" cy="5575587"/>
        </a:xfrm>
        <a:prstGeom prst="rect">
          <a:avLst/>
        </a:prstGeom>
      </xdr:spPr>
    </xdr:pic>
    <xdr:clientData/>
  </xdr:twoCellAnchor>
  <xdr:twoCellAnchor editAs="oneCell">
    <xdr:from>
      <xdr:col>9</xdr:col>
      <xdr:colOff>641350</xdr:colOff>
      <xdr:row>153</xdr:row>
      <xdr:rowOff>139700</xdr:rowOff>
    </xdr:from>
    <xdr:to>
      <xdr:col>21</xdr:col>
      <xdr:colOff>590958</xdr:colOff>
      <xdr:row>186</xdr:row>
      <xdr:rowOff>159088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B04F4B-2559-BA1F-84B4-96F94063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592050" y="30518100"/>
          <a:ext cx="7944258" cy="6572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330200</xdr:colOff>
      <xdr:row>82</xdr:row>
      <xdr:rowOff>57150</xdr:rowOff>
    </xdr:from>
    <xdr:to>
      <xdr:col>5</xdr:col>
      <xdr:colOff>57150</xdr:colOff>
      <xdr:row>95</xdr:row>
      <xdr:rowOff>165100</xdr:rowOff>
    </xdr:to>
    <xdr:pic>
      <xdr:nvPicPr>
        <xdr:cNvPr id="2312" name="Picture 9" descr="WELD-14">
          <a:extLst>
            <a:ext uri="{FF2B5EF4-FFF2-40B4-BE49-F238E27FC236}">
              <a16:creationId xmlns:a16="http://schemas.microsoft.com/office/drawing/2014/main" id="{07771ACF-33A6-80AA-1F60-2E05385D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13398500"/>
          <a:ext cx="244475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488950</xdr:colOff>
      <xdr:row>152</xdr:row>
      <xdr:rowOff>48264</xdr:rowOff>
    </xdr:from>
    <xdr:to>
      <xdr:col>5</xdr:col>
      <xdr:colOff>368300</xdr:colOff>
      <xdr:row>168</xdr:row>
      <xdr:rowOff>25400</xdr:rowOff>
    </xdr:to>
    <xdr:pic>
      <xdr:nvPicPr>
        <xdr:cNvPr id="2313" name="Picture 11" descr="WELD-15">
          <a:extLst>
            <a:ext uri="{FF2B5EF4-FFF2-40B4-BE49-F238E27FC236}">
              <a16:creationId xmlns:a16="http://schemas.microsoft.com/office/drawing/2014/main" id="{8E9C1089-4838-B37C-7D78-C662C66B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8950" y="30210764"/>
          <a:ext cx="2597150" cy="3126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205</xdr:row>
      <xdr:rowOff>114299</xdr:rowOff>
    </xdr:from>
    <xdr:to>
      <xdr:col>4</xdr:col>
      <xdr:colOff>577850</xdr:colOff>
      <xdr:row>224</xdr:row>
      <xdr:rowOff>83172</xdr:rowOff>
    </xdr:to>
    <xdr:pic>
      <xdr:nvPicPr>
        <xdr:cNvPr id="2314" name="Picture 12" descr="WELD-16">
          <a:extLst>
            <a:ext uri="{FF2B5EF4-FFF2-40B4-BE49-F238E27FC236}">
              <a16:creationId xmlns:a16="http://schemas.microsoft.com/office/drawing/2014/main" id="{568B3DF4-B241-FA4A-C6EB-C1C39A86A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40773349"/>
          <a:ext cx="2190750" cy="3709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463550</xdr:colOff>
      <xdr:row>226</xdr:row>
      <xdr:rowOff>38100</xdr:rowOff>
    </xdr:from>
    <xdr:to>
      <xdr:col>4</xdr:col>
      <xdr:colOff>400050</xdr:colOff>
      <xdr:row>237</xdr:row>
      <xdr:rowOff>88900</xdr:rowOff>
    </xdr:to>
    <xdr:pic>
      <xdr:nvPicPr>
        <xdr:cNvPr id="2315" name="Picture 20" descr="WELD-17">
          <a:extLst>
            <a:ext uri="{FF2B5EF4-FFF2-40B4-BE49-F238E27FC236}">
              <a16:creationId xmlns:a16="http://schemas.microsoft.com/office/drawing/2014/main" id="{4AC81127-B063-FFA3-A550-05D14637D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" y="36525200"/>
          <a:ext cx="2044700" cy="221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242</xdr:row>
      <xdr:rowOff>12700</xdr:rowOff>
    </xdr:from>
    <xdr:to>
      <xdr:col>1</xdr:col>
      <xdr:colOff>2711450</xdr:colOff>
      <xdr:row>251</xdr:row>
      <xdr:rowOff>76200</xdr:rowOff>
    </xdr:to>
    <xdr:pic>
      <xdr:nvPicPr>
        <xdr:cNvPr id="2316" name="Picture 22" descr="WELD-18">
          <a:extLst>
            <a:ext uri="{FF2B5EF4-FFF2-40B4-BE49-F238E27FC236}">
              <a16:creationId xmlns:a16="http://schemas.microsoft.com/office/drawing/2014/main" id="{84D48229-BDB3-CA87-BC12-76C911882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046150"/>
          <a:ext cx="2082800" cy="183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552450</xdr:colOff>
      <xdr:row>240</xdr:row>
      <xdr:rowOff>50800</xdr:rowOff>
    </xdr:from>
    <xdr:to>
      <xdr:col>5</xdr:col>
      <xdr:colOff>279400</xdr:colOff>
      <xdr:row>251</xdr:row>
      <xdr:rowOff>82550</xdr:rowOff>
    </xdr:to>
    <xdr:pic>
      <xdr:nvPicPr>
        <xdr:cNvPr id="2317" name="Picture 25" descr="WELD-19">
          <a:extLst>
            <a:ext uri="{FF2B5EF4-FFF2-40B4-BE49-F238E27FC236}">
              <a16:creationId xmlns:a16="http://schemas.microsoft.com/office/drawing/2014/main" id="{88D83008-E9AB-02ED-6959-FB70A0A75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38766750"/>
          <a:ext cx="244475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9</xdr:row>
      <xdr:rowOff>31750</xdr:rowOff>
    </xdr:from>
    <xdr:to>
      <xdr:col>5</xdr:col>
      <xdr:colOff>127000</xdr:colOff>
      <xdr:row>15</xdr:row>
      <xdr:rowOff>171450</xdr:rowOff>
    </xdr:to>
    <xdr:pic>
      <xdr:nvPicPr>
        <xdr:cNvPr id="2318" name="Picture 26" descr="LINE-1">
          <a:extLst>
            <a:ext uri="{FF2B5EF4-FFF2-40B4-BE49-F238E27FC236}">
              <a16:creationId xmlns:a16="http://schemas.microsoft.com/office/drawing/2014/main" id="{5A546050-D3C6-0196-B807-2AB4E40E3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1555750"/>
          <a:ext cx="736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349250</xdr:colOff>
      <xdr:row>24</xdr:row>
      <xdr:rowOff>107950</xdr:rowOff>
    </xdr:from>
    <xdr:to>
      <xdr:col>5</xdr:col>
      <xdr:colOff>209550</xdr:colOff>
      <xdr:row>31</xdr:row>
      <xdr:rowOff>101600</xdr:rowOff>
    </xdr:to>
    <xdr:pic>
      <xdr:nvPicPr>
        <xdr:cNvPr id="2319" name="Picture 27" descr="LINE-2">
          <a:extLst>
            <a:ext uri="{FF2B5EF4-FFF2-40B4-BE49-F238E27FC236}">
              <a16:creationId xmlns:a16="http://schemas.microsoft.com/office/drawing/2014/main" id="{CAD8B6FC-6DE3-6070-548B-7C749FD26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4083050"/>
          <a:ext cx="107950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39</xdr:row>
      <xdr:rowOff>25400</xdr:rowOff>
    </xdr:from>
    <xdr:to>
      <xdr:col>5</xdr:col>
      <xdr:colOff>387350</xdr:colOff>
      <xdr:row>46</xdr:row>
      <xdr:rowOff>158750</xdr:rowOff>
    </xdr:to>
    <xdr:pic>
      <xdr:nvPicPr>
        <xdr:cNvPr id="2320" name="Picture 28" descr="LINE-3">
          <a:extLst>
            <a:ext uri="{FF2B5EF4-FFF2-40B4-BE49-F238E27FC236}">
              <a16:creationId xmlns:a16="http://schemas.microsoft.com/office/drawing/2014/main" id="{9DC814E7-3BD5-BCA4-8E67-2C4B1650B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6445250"/>
          <a:ext cx="1397000" cy="151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177800</xdr:colOff>
      <xdr:row>54</xdr:row>
      <xdr:rowOff>95250</xdr:rowOff>
    </xdr:from>
    <xdr:to>
      <xdr:col>5</xdr:col>
      <xdr:colOff>438150</xdr:colOff>
      <xdr:row>62</xdr:row>
      <xdr:rowOff>114300</xdr:rowOff>
    </xdr:to>
    <xdr:pic>
      <xdr:nvPicPr>
        <xdr:cNvPr id="2321" name="Picture 31" descr="LINE-4">
          <a:extLst>
            <a:ext uri="{FF2B5EF4-FFF2-40B4-BE49-F238E27FC236}">
              <a16:creationId xmlns:a16="http://schemas.microsoft.com/office/drawing/2014/main" id="{48F1C21A-8DAD-32B5-9978-BA155C55C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3550" y="8934450"/>
          <a:ext cx="1479550" cy="160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857250</xdr:colOff>
      <xdr:row>298</xdr:row>
      <xdr:rowOff>133350</xdr:rowOff>
    </xdr:from>
    <xdr:to>
      <xdr:col>4</xdr:col>
      <xdr:colOff>158750</xdr:colOff>
      <xdr:row>315</xdr:row>
      <xdr:rowOff>146050</xdr:rowOff>
    </xdr:to>
    <xdr:sp macro="" textlink="">
      <xdr:nvSpPr>
        <xdr:cNvPr id="2080" name="Text Box 32">
          <a:extLst>
            <a:ext uri="{FF2B5EF4-FFF2-40B4-BE49-F238E27FC236}">
              <a16:creationId xmlns:a16="http://schemas.microsoft.com/office/drawing/2014/main" id="{FDE60414-36E1-32E7-B63C-95CAC624AC45}"/>
            </a:ext>
          </a:extLst>
        </xdr:cNvPr>
        <xdr:cNvSpPr txBox="1">
          <a:spLocks noChangeArrowheads="1"/>
        </xdr:cNvSpPr>
      </xdr:nvSpPr>
      <xdr:spPr bwMode="auto">
        <a:xfrm>
          <a:off x="1276350" y="59162950"/>
          <a:ext cx="4800600" cy="335915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Note: Three different formulas for moment of inertia Ix above.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1. First moment of inertia: Rectangular Area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Ix = w * D^3 / 12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2. Second moment of inertia: Weld Around a Rectangular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I outer area = ( H * D^3 / 12 )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I inner area = ( (H-2*w) * (D-2*w)^3 / 12 )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Ix = I outer area - I inner area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3. Third moment of inertia: Weld Around a Rectangular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Allows two different weld (w) sizes.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 Vertical Welds,  I1 = 2 * w * H * (D / 2)^2  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2 Horizontal welds,  I2 = w * D^3 / 12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Ix = I1 + I2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4</xdr:row>
      <xdr:rowOff>146050</xdr:rowOff>
    </xdr:from>
    <xdr:to>
      <xdr:col>5</xdr:col>
      <xdr:colOff>824252</xdr:colOff>
      <xdr:row>19</xdr:row>
      <xdr:rowOff>177800</xdr:rowOff>
    </xdr:to>
    <xdr:pic>
      <xdr:nvPicPr>
        <xdr:cNvPr id="3123" name="Picture 12" descr="WELD-20">
          <a:extLst>
            <a:ext uri="{FF2B5EF4-FFF2-40B4-BE49-F238E27FC236}">
              <a16:creationId xmlns:a16="http://schemas.microsoft.com/office/drawing/2014/main" id="{EFA3ADE8-A1E0-7D20-D147-1D7404E6A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996950"/>
          <a:ext cx="7167902" cy="298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69851</xdr:colOff>
      <xdr:row>9</xdr:row>
      <xdr:rowOff>31750</xdr:rowOff>
    </xdr:from>
    <xdr:to>
      <xdr:col>12</xdr:col>
      <xdr:colOff>59818</xdr:colOff>
      <xdr:row>25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10610-9464-47BF-92F9-A1B874D6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151" y="1835150"/>
          <a:ext cx="2428367" cy="330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20</xdr:row>
      <xdr:rowOff>53975</xdr:rowOff>
    </xdr:from>
    <xdr:to>
      <xdr:col>3</xdr:col>
      <xdr:colOff>222250</xdr:colOff>
      <xdr:row>29</xdr:row>
      <xdr:rowOff>44450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82C7E0-893C-43B0-9A13-30E913721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50" y="4022725"/>
          <a:ext cx="2197100" cy="1762125"/>
        </a:xfrm>
        <a:prstGeom prst="rect">
          <a:avLst/>
        </a:prstGeom>
      </xdr:spPr>
    </xdr:pic>
    <xdr:clientData/>
  </xdr:twoCellAnchor>
  <xdr:twoCellAnchor editAs="oneCell">
    <xdr:from>
      <xdr:col>3</xdr:col>
      <xdr:colOff>1003300</xdr:colOff>
      <xdr:row>9</xdr:row>
      <xdr:rowOff>12700</xdr:rowOff>
    </xdr:from>
    <xdr:to>
      <xdr:col>7</xdr:col>
      <xdr:colOff>438150</xdr:colOff>
      <xdr:row>27</xdr:row>
      <xdr:rowOff>166944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9F146C-56BF-40BE-8BAD-26877F9E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1816100"/>
          <a:ext cx="2305050" cy="369754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1</xdr:row>
      <xdr:rowOff>38101</xdr:rowOff>
    </xdr:from>
    <xdr:to>
      <xdr:col>6</xdr:col>
      <xdr:colOff>161925</xdr:colOff>
      <xdr:row>6</xdr:row>
      <xdr:rowOff>94172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423870-8CED-4157-85A9-83AED6A01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575" y="266701"/>
          <a:ext cx="1314450" cy="1040321"/>
        </a:xfrm>
        <a:prstGeom prst="rect">
          <a:avLst/>
        </a:prstGeom>
      </xdr:spPr>
    </xdr:pic>
    <xdr:clientData/>
  </xdr:twoCellAnchor>
  <xdr:twoCellAnchor editAs="oneCell">
    <xdr:from>
      <xdr:col>11</xdr:col>
      <xdr:colOff>92075</xdr:colOff>
      <xdr:row>28</xdr:row>
      <xdr:rowOff>22225</xdr:rowOff>
    </xdr:from>
    <xdr:to>
      <xdr:col>18</xdr:col>
      <xdr:colOff>437363</xdr:colOff>
      <xdr:row>52</xdr:row>
      <xdr:rowOff>88900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2DD4B4B-6340-4D4B-962C-AD394113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5565775"/>
          <a:ext cx="4612488" cy="48355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47</xdr:row>
      <xdr:rowOff>12700</xdr:rowOff>
    </xdr:from>
    <xdr:to>
      <xdr:col>2</xdr:col>
      <xdr:colOff>387350</xdr:colOff>
      <xdr:row>56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F32264-DF23-4950-B9FF-0BD9F701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9340850"/>
          <a:ext cx="2082800" cy="17875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6</xdr:col>
      <xdr:colOff>317500</xdr:colOff>
      <xdr:row>56</xdr:row>
      <xdr:rowOff>47625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5CFB46A-7112-47CC-882C-D836685F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9401175"/>
          <a:ext cx="2578100" cy="147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78"/>
  <sheetViews>
    <sheetView tabSelected="1" zoomScaleNormal="100" workbookViewId="0">
      <selection activeCell="I1" sqref="I1"/>
    </sheetView>
  </sheetViews>
  <sheetFormatPr defaultRowHeight="15.5" x14ac:dyDescent="0.35"/>
  <cols>
    <col min="1" max="1" width="5.453125" style="3" customWidth="1"/>
    <col min="2" max="2" width="35" style="3" customWidth="1"/>
    <col min="3" max="3" width="16.54296875" style="3" customWidth="1"/>
    <col min="4" max="4" width="30" style="4" customWidth="1"/>
    <col min="5" max="5" width="25.26953125" style="5" customWidth="1"/>
    <col min="6" max="6" width="21.6328125" style="3" customWidth="1"/>
    <col min="7" max="7" width="9.6328125" style="3" customWidth="1"/>
    <col min="8" max="8" width="15.26953125" style="3" customWidth="1"/>
    <col min="9" max="9" width="17.26953125" style="3" customWidth="1"/>
    <col min="10" max="10" width="18.453125" style="3" customWidth="1"/>
    <col min="11" max="16384" width="8.7265625" style="3"/>
  </cols>
  <sheetData>
    <row r="1" spans="2:15" ht="18" x14ac:dyDescent="0.4">
      <c r="B1" s="81" t="s">
        <v>434</v>
      </c>
      <c r="I1" s="6"/>
      <c r="J1" s="6"/>
    </row>
    <row r="2" spans="2:15" x14ac:dyDescent="0.35">
      <c r="B2" s="2" t="s">
        <v>0</v>
      </c>
      <c r="D2" s="5" t="s">
        <v>1</v>
      </c>
      <c r="I2" s="6"/>
      <c r="J2" s="6"/>
    </row>
    <row r="3" spans="2:15" x14ac:dyDescent="0.35">
      <c r="B3" s="2"/>
      <c r="G3" s="6"/>
      <c r="H3" s="6"/>
      <c r="I3" s="6"/>
      <c r="J3" s="6"/>
    </row>
    <row r="4" spans="2:15" x14ac:dyDescent="0.35">
      <c r="B4" s="7" t="s">
        <v>2</v>
      </c>
      <c r="G4" s="6"/>
      <c r="H4" s="6"/>
      <c r="I4" s="6"/>
      <c r="J4" s="6"/>
    </row>
    <row r="5" spans="2:15" x14ac:dyDescent="0.35">
      <c r="B5" s="3" t="s">
        <v>435</v>
      </c>
      <c r="F5" s="8"/>
      <c r="G5" s="6"/>
      <c r="H5" s="93" t="s">
        <v>496</v>
      </c>
      <c r="I5" s="93"/>
      <c r="J5" s="93"/>
      <c r="K5" s="84"/>
      <c r="L5" s="6"/>
      <c r="M5" s="6"/>
      <c r="N5" s="6"/>
      <c r="O5" s="6"/>
    </row>
    <row r="6" spans="2:15" x14ac:dyDescent="0.35">
      <c r="B6" s="3" t="s">
        <v>411</v>
      </c>
      <c r="G6" s="6"/>
      <c r="H6" s="84" t="s">
        <v>497</v>
      </c>
      <c r="I6" s="84"/>
      <c r="J6" s="84"/>
      <c r="K6" s="84"/>
      <c r="L6" s="6"/>
      <c r="M6" s="6"/>
      <c r="N6" s="6"/>
      <c r="O6" s="6"/>
    </row>
    <row r="7" spans="2:15" x14ac:dyDescent="0.35">
      <c r="B7" s="3" t="s">
        <v>412</v>
      </c>
      <c r="G7" s="6"/>
      <c r="H7" s="84"/>
      <c r="I7" s="84"/>
      <c r="J7" s="84"/>
      <c r="K7" s="84"/>
      <c r="L7" s="6"/>
      <c r="M7" s="6"/>
      <c r="N7" s="6"/>
    </row>
    <row r="8" spans="2:15" ht="20.5" x14ac:dyDescent="0.35">
      <c r="B8" s="3" t="s">
        <v>413</v>
      </c>
      <c r="G8" s="6"/>
      <c r="H8" s="84"/>
      <c r="I8" s="84"/>
      <c r="J8" s="84"/>
      <c r="K8" s="84"/>
      <c r="L8" s="6"/>
      <c r="M8" s="6"/>
      <c r="N8" s="6"/>
      <c r="O8" s="125"/>
    </row>
    <row r="9" spans="2:15" x14ac:dyDescent="0.35">
      <c r="B9" s="3" t="s">
        <v>436</v>
      </c>
      <c r="G9" s="6"/>
      <c r="H9" s="84"/>
      <c r="I9" s="84"/>
      <c r="J9" s="84"/>
      <c r="K9" s="84"/>
      <c r="L9" s="6"/>
      <c r="M9" s="6"/>
      <c r="N9" s="6"/>
      <c r="O9" s="6"/>
    </row>
    <row r="10" spans="2:15" x14ac:dyDescent="0.35">
      <c r="G10" s="6"/>
      <c r="H10" s="84"/>
      <c r="I10" s="84"/>
      <c r="J10" s="84"/>
      <c r="K10" s="84"/>
      <c r="L10" s="6"/>
      <c r="M10" s="6"/>
      <c r="N10" s="6"/>
      <c r="O10" s="6"/>
    </row>
    <row r="11" spans="2:15" x14ac:dyDescent="0.35">
      <c r="B11" s="7" t="s">
        <v>3</v>
      </c>
      <c r="D11" s="11" t="s">
        <v>414</v>
      </c>
      <c r="E11" s="9"/>
      <c r="G11" s="6"/>
      <c r="H11" s="84"/>
      <c r="I11" s="84"/>
      <c r="J11" s="84"/>
      <c r="K11" s="84"/>
      <c r="L11" s="6"/>
      <c r="M11" s="6"/>
      <c r="N11" s="6"/>
      <c r="O11" s="6"/>
    </row>
    <row r="12" spans="2:15" x14ac:dyDescent="0.35">
      <c r="B12" s="3" t="s">
        <v>417</v>
      </c>
      <c r="D12" s="119" t="s">
        <v>415</v>
      </c>
      <c r="E12" s="9"/>
      <c r="G12" s="6"/>
      <c r="H12" s="84"/>
      <c r="I12" s="84"/>
      <c r="J12" s="84"/>
      <c r="K12" s="84"/>
      <c r="L12" s="6"/>
      <c r="M12" s="6"/>
      <c r="N12" s="6"/>
      <c r="O12" s="6"/>
    </row>
    <row r="13" spans="2:15" x14ac:dyDescent="0.35">
      <c r="D13" s="11" t="s">
        <v>416</v>
      </c>
      <c r="E13" s="9"/>
      <c r="G13" s="6"/>
    </row>
    <row r="14" spans="2:15" x14ac:dyDescent="0.35">
      <c r="B14" s="3" t="s">
        <v>418</v>
      </c>
      <c r="D14" s="120" t="s">
        <v>494</v>
      </c>
      <c r="E14" s="9"/>
      <c r="G14" s="6"/>
    </row>
    <row r="15" spans="2:15" x14ac:dyDescent="0.35">
      <c r="D15" s="120" t="s">
        <v>495</v>
      </c>
      <c r="E15" s="9"/>
      <c r="G15" s="6"/>
    </row>
    <row r="16" spans="2:15" x14ac:dyDescent="0.35">
      <c r="B16" s="10" t="s">
        <v>419</v>
      </c>
      <c r="G16" s="6"/>
    </row>
    <row r="17" spans="2:12" x14ac:dyDescent="0.35">
      <c r="D17" s="114"/>
      <c r="E17" s="115"/>
      <c r="F17" s="116"/>
      <c r="G17" s="117"/>
      <c r="H17" s="6"/>
      <c r="I17" s="6"/>
      <c r="J17" s="6"/>
    </row>
    <row r="18" spans="2:12" x14ac:dyDescent="0.35">
      <c r="B18" s="3" t="s">
        <v>499</v>
      </c>
      <c r="D18" s="114"/>
      <c r="E18" s="115"/>
      <c r="F18" s="116"/>
      <c r="G18" s="117"/>
      <c r="H18" s="6"/>
      <c r="I18" s="6"/>
      <c r="J18" s="6"/>
    </row>
    <row r="19" spans="2:12" x14ac:dyDescent="0.35">
      <c r="D19" s="118"/>
      <c r="E19" s="115"/>
      <c r="F19" s="116"/>
      <c r="G19" s="117"/>
      <c r="H19" s="6"/>
      <c r="I19" s="6"/>
      <c r="J19" s="6"/>
    </row>
    <row r="20" spans="2:12" x14ac:dyDescent="0.35">
      <c r="D20" s="114"/>
      <c r="E20" s="115"/>
      <c r="F20" s="116"/>
      <c r="G20" s="117"/>
      <c r="H20" s="6"/>
      <c r="I20" s="6"/>
      <c r="J20" s="6"/>
      <c r="K20" s="6"/>
      <c r="L20" s="6"/>
    </row>
    <row r="21" spans="2:12" x14ac:dyDescent="0.35">
      <c r="B21" s="7" t="s">
        <v>20</v>
      </c>
      <c r="D21" s="114"/>
      <c r="E21" s="115"/>
      <c r="F21" s="116"/>
      <c r="G21" s="117"/>
      <c r="H21" s="6"/>
      <c r="I21" s="6"/>
      <c r="J21" s="6"/>
      <c r="K21" s="6"/>
      <c r="L21" s="6"/>
    </row>
    <row r="22" spans="2:12" x14ac:dyDescent="0.35">
      <c r="G22" s="6"/>
      <c r="H22" s="6"/>
      <c r="I22" s="6"/>
      <c r="J22" s="6"/>
      <c r="K22" s="6"/>
      <c r="L22" s="6"/>
    </row>
    <row r="23" spans="2:12" x14ac:dyDescent="0.35">
      <c r="B23" s="3" t="s">
        <v>347</v>
      </c>
      <c r="G23" s="6"/>
      <c r="H23" s="6"/>
      <c r="I23" s="6"/>
      <c r="J23" s="6"/>
      <c r="K23" s="6"/>
      <c r="L23" s="6"/>
    </row>
    <row r="24" spans="2:12" x14ac:dyDescent="0.35">
      <c r="B24" s="3" t="s">
        <v>348</v>
      </c>
      <c r="G24" s="6"/>
      <c r="H24" s="6"/>
      <c r="I24" s="6"/>
      <c r="J24" s="6"/>
      <c r="K24" s="6"/>
      <c r="L24" s="6"/>
    </row>
    <row r="25" spans="2:12" x14ac:dyDescent="0.35">
      <c r="B25" s="3" t="s">
        <v>4</v>
      </c>
      <c r="G25" s="6"/>
      <c r="H25" s="6"/>
      <c r="I25" s="6"/>
      <c r="J25" s="6"/>
      <c r="K25" s="6"/>
      <c r="L25" s="6"/>
    </row>
    <row r="26" spans="2:12" x14ac:dyDescent="0.35">
      <c r="G26" s="6"/>
      <c r="H26" s="6"/>
      <c r="I26" s="6"/>
      <c r="J26" s="6"/>
      <c r="K26" s="6"/>
      <c r="L26" s="6"/>
    </row>
    <row r="27" spans="2:12" x14ac:dyDescent="0.35">
      <c r="B27" s="3" t="s">
        <v>26</v>
      </c>
      <c r="G27" s="6"/>
      <c r="H27" s="6"/>
      <c r="I27" s="6"/>
      <c r="J27" s="6"/>
      <c r="K27" s="6"/>
      <c r="L27" s="6"/>
    </row>
    <row r="28" spans="2:12" x14ac:dyDescent="0.35">
      <c r="B28" s="3" t="s">
        <v>99</v>
      </c>
      <c r="G28" s="6"/>
      <c r="H28" s="6"/>
      <c r="I28" s="6"/>
      <c r="J28" s="6"/>
      <c r="K28" s="6"/>
      <c r="L28" s="6"/>
    </row>
    <row r="29" spans="2:12" x14ac:dyDescent="0.35">
      <c r="B29" s="3" t="s">
        <v>5</v>
      </c>
      <c r="G29" s="6"/>
      <c r="H29" s="6"/>
      <c r="I29" s="6"/>
      <c r="J29" s="6"/>
      <c r="K29" s="6"/>
      <c r="L29" s="6"/>
    </row>
    <row r="30" spans="2:12" x14ac:dyDescent="0.35">
      <c r="B30" s="3" t="s">
        <v>6</v>
      </c>
      <c r="G30" s="6"/>
      <c r="H30" s="6"/>
      <c r="I30" s="6"/>
      <c r="J30" s="6"/>
      <c r="K30" s="6"/>
      <c r="L30" s="6"/>
    </row>
    <row r="31" spans="2:12" x14ac:dyDescent="0.35">
      <c r="G31" s="6"/>
      <c r="H31" s="6"/>
      <c r="I31" s="6"/>
      <c r="J31" s="6"/>
      <c r="K31" s="6"/>
      <c r="L31" s="6"/>
    </row>
    <row r="32" spans="2:12" x14ac:dyDescent="0.35">
      <c r="G32" s="6"/>
      <c r="H32" s="6"/>
      <c r="I32" s="6"/>
      <c r="J32" s="6"/>
      <c r="K32" s="6"/>
      <c r="L32" s="6"/>
    </row>
    <row r="33" spans="2:12" x14ac:dyDescent="0.35">
      <c r="B33" s="10" t="s">
        <v>498</v>
      </c>
      <c r="G33" s="6"/>
      <c r="H33" s="6"/>
      <c r="I33" s="12"/>
      <c r="J33" s="6"/>
      <c r="K33" s="6"/>
      <c r="L33" s="6"/>
    </row>
    <row r="34" spans="2:12" x14ac:dyDescent="0.35">
      <c r="G34" s="6"/>
      <c r="H34" s="1" t="s">
        <v>511</v>
      </c>
      <c r="I34" s="13"/>
      <c r="J34" s="13"/>
      <c r="K34" s="13"/>
      <c r="L34" s="13"/>
    </row>
    <row r="35" spans="2:12" ht="16" thickBot="1" x14ac:dyDescent="0.4">
      <c r="D35" s="2" t="s">
        <v>28</v>
      </c>
      <c r="E35" s="14" t="s">
        <v>7</v>
      </c>
      <c r="G35" s="6"/>
      <c r="H35" s="15" t="s">
        <v>28</v>
      </c>
      <c r="I35" s="16" t="s">
        <v>7</v>
      </c>
      <c r="J35" s="13"/>
      <c r="K35" s="13"/>
      <c r="L35" s="13"/>
    </row>
    <row r="36" spans="2:12" x14ac:dyDescent="0.35">
      <c r="B36" s="2" t="s">
        <v>223</v>
      </c>
      <c r="D36" s="4" t="s">
        <v>121</v>
      </c>
      <c r="E36" s="123">
        <v>13600</v>
      </c>
      <c r="F36" s="3" t="s">
        <v>21</v>
      </c>
      <c r="G36" s="6"/>
      <c r="H36" s="18" t="s">
        <v>121</v>
      </c>
      <c r="I36" s="124">
        <v>13600</v>
      </c>
      <c r="J36" s="13" t="s">
        <v>21</v>
      </c>
      <c r="K36" s="13"/>
      <c r="L36" s="13"/>
    </row>
    <row r="37" spans="2:12" x14ac:dyDescent="0.35">
      <c r="B37" s="8" t="s">
        <v>224</v>
      </c>
      <c r="D37" s="4" t="s">
        <v>119</v>
      </c>
      <c r="E37" s="19">
        <v>0.375</v>
      </c>
      <c r="F37" s="3" t="s">
        <v>11</v>
      </c>
      <c r="G37" s="6"/>
      <c r="H37" s="18" t="s">
        <v>119</v>
      </c>
      <c r="I37" s="20">
        <v>0.375</v>
      </c>
      <c r="J37" s="13" t="s">
        <v>11</v>
      </c>
      <c r="K37" s="13"/>
      <c r="L37" s="13"/>
    </row>
    <row r="38" spans="2:12" x14ac:dyDescent="0.35">
      <c r="D38" s="4" t="s">
        <v>132</v>
      </c>
      <c r="E38" s="21">
        <v>5</v>
      </c>
      <c r="F38" s="3" t="s">
        <v>11</v>
      </c>
      <c r="G38" s="22"/>
      <c r="H38" s="18" t="s">
        <v>132</v>
      </c>
      <c r="I38" s="23">
        <v>5</v>
      </c>
      <c r="J38" s="13" t="s">
        <v>11</v>
      </c>
      <c r="K38" s="13"/>
      <c r="L38" s="13"/>
    </row>
    <row r="39" spans="2:12" ht="16" thickBot="1" x14ac:dyDescent="0.4">
      <c r="D39" s="4" t="s">
        <v>13</v>
      </c>
      <c r="E39" s="24">
        <v>0.8</v>
      </c>
      <c r="G39" s="22"/>
      <c r="H39" s="18" t="s">
        <v>13</v>
      </c>
      <c r="I39" s="25">
        <v>0.8</v>
      </c>
      <c r="J39" s="13"/>
      <c r="K39" s="13"/>
      <c r="L39" s="13"/>
    </row>
    <row r="40" spans="2:12" x14ac:dyDescent="0.35">
      <c r="E40" s="14" t="s">
        <v>8</v>
      </c>
      <c r="G40" s="22"/>
      <c r="H40" s="18"/>
      <c r="I40" s="16" t="s">
        <v>8</v>
      </c>
      <c r="J40" s="13"/>
      <c r="K40" s="13"/>
      <c r="L40" s="13"/>
    </row>
    <row r="41" spans="2:12" ht="16" thickBot="1" x14ac:dyDescent="0.4">
      <c r="D41" s="26" t="s">
        <v>12</v>
      </c>
      <c r="E41" s="27" t="s">
        <v>120</v>
      </c>
      <c r="G41" s="22"/>
      <c r="H41" s="28" t="s">
        <v>12</v>
      </c>
      <c r="I41" s="29" t="s">
        <v>120</v>
      </c>
      <c r="J41" s="13"/>
      <c r="K41" s="13"/>
      <c r="L41" s="13"/>
    </row>
    <row r="42" spans="2:12" ht="16" thickBot="1" x14ac:dyDescent="0.4">
      <c r="D42" s="26" t="s">
        <v>14</v>
      </c>
      <c r="E42" s="121">
        <f>E36 * E37 * E38 * E39</f>
        <v>20400</v>
      </c>
      <c r="F42" s="8" t="s">
        <v>15</v>
      </c>
      <c r="G42" s="22"/>
      <c r="H42" s="28" t="s">
        <v>14</v>
      </c>
      <c r="I42" s="122">
        <f>I36 * I37 * I38 * I39</f>
        <v>20400</v>
      </c>
      <c r="J42" s="1" t="s">
        <v>15</v>
      </c>
      <c r="K42" s="13"/>
      <c r="L42" s="13"/>
    </row>
    <row r="43" spans="2:12" x14ac:dyDescent="0.35">
      <c r="G43" s="6"/>
      <c r="H43" s="13"/>
      <c r="I43" s="18"/>
      <c r="J43" s="31"/>
      <c r="K43" s="13"/>
      <c r="L43" s="13"/>
    </row>
    <row r="44" spans="2:12" ht="16" thickBot="1" x14ac:dyDescent="0.4">
      <c r="D44" s="2" t="s">
        <v>122</v>
      </c>
      <c r="E44" s="14" t="s">
        <v>7</v>
      </c>
      <c r="G44" s="6"/>
      <c r="H44" s="13"/>
      <c r="I44" s="28"/>
      <c r="J44" s="29"/>
      <c r="K44" s="1"/>
      <c r="L44" s="13"/>
    </row>
    <row r="45" spans="2:12" x14ac:dyDescent="0.35">
      <c r="D45" s="4" t="s">
        <v>123</v>
      </c>
      <c r="E45" s="17">
        <v>36000</v>
      </c>
      <c r="F45" s="3" t="s">
        <v>21</v>
      </c>
      <c r="G45" s="6"/>
      <c r="H45" s="13"/>
      <c r="I45" s="13"/>
      <c r="J45" s="13"/>
      <c r="K45" s="13"/>
      <c r="L45" s="13"/>
    </row>
    <row r="46" spans="2:12" x14ac:dyDescent="0.35">
      <c r="D46" s="4" t="s">
        <v>124</v>
      </c>
      <c r="E46" s="19">
        <v>0.375</v>
      </c>
      <c r="F46" s="3" t="s">
        <v>11</v>
      </c>
      <c r="G46" s="6"/>
      <c r="H46" s="13"/>
      <c r="I46" s="13"/>
      <c r="J46" s="13"/>
      <c r="K46" s="13"/>
      <c r="L46" s="13"/>
    </row>
    <row r="47" spans="2:12" ht="16" thickBot="1" x14ac:dyDescent="0.4">
      <c r="D47" s="4" t="s">
        <v>131</v>
      </c>
      <c r="E47" s="32">
        <v>5</v>
      </c>
      <c r="F47" s="3" t="s">
        <v>11</v>
      </c>
      <c r="G47" s="6"/>
      <c r="H47" s="13"/>
      <c r="I47" s="13"/>
      <c r="J47" s="13"/>
      <c r="K47" s="13"/>
      <c r="L47" s="13"/>
    </row>
    <row r="48" spans="2:12" x14ac:dyDescent="0.35">
      <c r="E48" s="14" t="s">
        <v>8</v>
      </c>
      <c r="G48" s="6"/>
      <c r="H48" s="13"/>
      <c r="I48" s="13"/>
      <c r="J48" s="13"/>
      <c r="K48" s="13"/>
      <c r="L48" s="13"/>
    </row>
    <row r="49" spans="2:12" ht="16" thickBot="1" x14ac:dyDescent="0.4">
      <c r="D49" s="26" t="s">
        <v>12</v>
      </c>
      <c r="E49" s="27" t="s">
        <v>125</v>
      </c>
      <c r="G49" s="6"/>
      <c r="H49" s="13"/>
      <c r="I49" s="13"/>
      <c r="J49" s="13"/>
      <c r="K49" s="13"/>
      <c r="L49" s="13"/>
    </row>
    <row r="50" spans="2:12" ht="16" thickBot="1" x14ac:dyDescent="0.4">
      <c r="D50" s="26" t="s">
        <v>14</v>
      </c>
      <c r="E50" s="121">
        <f>E45* E46 * E47</f>
        <v>67500</v>
      </c>
      <c r="F50" s="8" t="s">
        <v>15</v>
      </c>
      <c r="G50" s="6"/>
      <c r="H50" s="13"/>
      <c r="I50" s="13"/>
      <c r="J50" s="13"/>
      <c r="K50" s="13"/>
      <c r="L50" s="13"/>
    </row>
    <row r="51" spans="2:12" x14ac:dyDescent="0.35">
      <c r="F51" s="27"/>
      <c r="G51" s="6"/>
      <c r="H51" s="6"/>
      <c r="I51" s="6"/>
      <c r="J51" s="6"/>
      <c r="K51" s="6"/>
      <c r="L51" s="6"/>
    </row>
    <row r="52" spans="2:12" x14ac:dyDescent="0.35">
      <c r="B52" s="7" t="s">
        <v>23</v>
      </c>
      <c r="G52" s="6"/>
      <c r="H52" s="6"/>
      <c r="I52" s="6"/>
      <c r="J52" s="6"/>
      <c r="K52" s="6"/>
      <c r="L52" s="6"/>
    </row>
    <row r="53" spans="2:12" x14ac:dyDescent="0.35">
      <c r="B53" s="10" t="s">
        <v>126</v>
      </c>
      <c r="G53" s="6"/>
      <c r="H53" s="6"/>
      <c r="I53" s="6"/>
      <c r="J53" s="6"/>
      <c r="K53" s="6"/>
      <c r="L53" s="6"/>
    </row>
    <row r="54" spans="2:12" x14ac:dyDescent="0.35">
      <c r="B54" s="10" t="s">
        <v>127</v>
      </c>
      <c r="G54" s="6"/>
      <c r="H54" s="6"/>
      <c r="I54" s="6"/>
      <c r="J54" s="6"/>
      <c r="K54" s="6"/>
      <c r="L54" s="6"/>
    </row>
    <row r="55" spans="2:12" x14ac:dyDescent="0.35">
      <c r="G55" s="6"/>
      <c r="H55" s="6"/>
      <c r="I55" s="6"/>
      <c r="J55" s="6"/>
      <c r="K55" s="6"/>
      <c r="L55" s="6"/>
    </row>
    <row r="56" spans="2:12" x14ac:dyDescent="0.35">
      <c r="G56" s="6"/>
      <c r="H56" s="6"/>
      <c r="I56" s="6"/>
      <c r="J56" s="6"/>
      <c r="K56" s="6"/>
      <c r="L56" s="6"/>
    </row>
    <row r="57" spans="2:12" x14ac:dyDescent="0.35">
      <c r="G57" s="6"/>
      <c r="H57" s="6"/>
      <c r="I57" s="6"/>
      <c r="J57" s="6"/>
      <c r="K57" s="6"/>
      <c r="L57" s="6"/>
    </row>
    <row r="58" spans="2:12" x14ac:dyDescent="0.35">
      <c r="G58" s="6"/>
      <c r="H58" s="6"/>
      <c r="I58" s="6"/>
      <c r="J58" s="6"/>
      <c r="K58" s="6"/>
      <c r="L58" s="6"/>
    </row>
    <row r="59" spans="2:12" x14ac:dyDescent="0.35">
      <c r="G59" s="6"/>
      <c r="H59" s="6"/>
      <c r="I59" s="6"/>
      <c r="J59" s="6"/>
      <c r="K59" s="6"/>
      <c r="L59" s="6"/>
    </row>
    <row r="60" spans="2:12" ht="16" thickBot="1" x14ac:dyDescent="0.4">
      <c r="G60" s="6"/>
      <c r="H60" s="26" t="s">
        <v>361</v>
      </c>
      <c r="I60" s="14" t="s">
        <v>7</v>
      </c>
      <c r="J60" s="10"/>
      <c r="K60" s="5"/>
    </row>
    <row r="61" spans="2:12" ht="16" thickBot="1" x14ac:dyDescent="0.4">
      <c r="D61" s="26" t="s">
        <v>28</v>
      </c>
      <c r="E61" s="14" t="s">
        <v>7</v>
      </c>
      <c r="G61" s="6"/>
      <c r="H61" s="4" t="s">
        <v>340</v>
      </c>
      <c r="I61" s="17">
        <v>13600</v>
      </c>
      <c r="J61" s="10" t="s">
        <v>21</v>
      </c>
      <c r="K61" s="5"/>
    </row>
    <row r="62" spans="2:12" x14ac:dyDescent="0.35">
      <c r="D62" s="4" t="s">
        <v>128</v>
      </c>
      <c r="E62" s="17">
        <v>13600</v>
      </c>
      <c r="F62" s="3" t="s">
        <v>9</v>
      </c>
      <c r="G62" s="6"/>
      <c r="H62" s="4" t="s">
        <v>338</v>
      </c>
      <c r="I62" s="19">
        <v>0.38</v>
      </c>
      <c r="J62" s="10" t="s">
        <v>11</v>
      </c>
      <c r="K62" s="5"/>
    </row>
    <row r="63" spans="2:12" x14ac:dyDescent="0.35">
      <c r="D63" s="4" t="s">
        <v>119</v>
      </c>
      <c r="E63" s="21">
        <v>0.5</v>
      </c>
      <c r="F63" s="3" t="s">
        <v>11</v>
      </c>
      <c r="G63" s="6"/>
      <c r="H63" s="4" t="s">
        <v>339</v>
      </c>
      <c r="I63" s="19">
        <v>0.25</v>
      </c>
      <c r="J63" s="10" t="s">
        <v>11</v>
      </c>
      <c r="K63" s="5"/>
    </row>
    <row r="64" spans="2:12" x14ac:dyDescent="0.35">
      <c r="D64" s="4" t="s">
        <v>132</v>
      </c>
      <c r="E64" s="19">
        <v>5</v>
      </c>
      <c r="F64" s="3" t="s">
        <v>11</v>
      </c>
      <c r="G64" s="6"/>
      <c r="H64" s="4" t="s">
        <v>358</v>
      </c>
      <c r="I64" s="80">
        <v>5</v>
      </c>
      <c r="J64" s="4"/>
      <c r="K64" s="5"/>
    </row>
    <row r="65" spans="2:12" ht="16" thickBot="1" x14ac:dyDescent="0.4">
      <c r="D65" s="4" t="s">
        <v>13</v>
      </c>
      <c r="E65" s="24">
        <v>0.8</v>
      </c>
      <c r="G65" s="6"/>
      <c r="H65" s="4" t="s">
        <v>13</v>
      </c>
      <c r="I65" s="24">
        <v>0.8</v>
      </c>
      <c r="J65" s="4"/>
      <c r="K65" s="5"/>
    </row>
    <row r="66" spans="2:12" x14ac:dyDescent="0.35">
      <c r="E66" s="14" t="s">
        <v>8</v>
      </c>
      <c r="G66" s="6"/>
      <c r="H66" s="4"/>
      <c r="I66" s="14" t="s">
        <v>8</v>
      </c>
      <c r="J66" s="4"/>
      <c r="K66" s="5"/>
    </row>
    <row r="67" spans="2:12" ht="16" thickBot="1" x14ac:dyDescent="0.4">
      <c r="D67" s="26" t="s">
        <v>17</v>
      </c>
      <c r="E67" s="27" t="s">
        <v>16</v>
      </c>
      <c r="G67" s="6"/>
      <c r="H67" s="4" t="s">
        <v>342</v>
      </c>
      <c r="I67" s="5" t="s">
        <v>341</v>
      </c>
      <c r="J67" s="10"/>
      <c r="K67" s="5"/>
    </row>
    <row r="68" spans="2:12" ht="16" thickBot="1" x14ac:dyDescent="0.4">
      <c r="D68" s="26" t="s">
        <v>18</v>
      </c>
      <c r="E68" s="33">
        <f>E62 * E63 * E64 * E65</f>
        <v>27200</v>
      </c>
      <c r="F68" s="8" t="s">
        <v>15</v>
      </c>
      <c r="G68" s="6"/>
      <c r="H68" s="4" t="s">
        <v>235</v>
      </c>
      <c r="I68" s="70">
        <f>3.1416 * I62^2 / 4</f>
        <v>0.11341176</v>
      </c>
      <c r="J68" s="10" t="s">
        <v>164</v>
      </c>
      <c r="K68" s="5"/>
    </row>
    <row r="69" spans="2:12" ht="16" thickBot="1" x14ac:dyDescent="0.4">
      <c r="G69" s="6"/>
      <c r="H69" s="26" t="s">
        <v>362</v>
      </c>
      <c r="I69" s="2" t="s">
        <v>360</v>
      </c>
      <c r="J69" s="2"/>
      <c r="K69" s="27" t="s">
        <v>363</v>
      </c>
    </row>
    <row r="70" spans="2:12" ht="16" thickBot="1" x14ac:dyDescent="0.4">
      <c r="D70" s="26" t="s">
        <v>122</v>
      </c>
      <c r="E70" s="14" t="s">
        <v>7</v>
      </c>
      <c r="G70" s="6"/>
      <c r="H70" s="26" t="s">
        <v>14</v>
      </c>
      <c r="I70" s="33">
        <f>0.75 * I61 * I68 *I64*I65</f>
        <v>4627.1998080000003</v>
      </c>
      <c r="J70" s="2" t="s">
        <v>90</v>
      </c>
      <c r="K70" s="5"/>
    </row>
    <row r="71" spans="2:12" x14ac:dyDescent="0.35">
      <c r="D71" s="4" t="s">
        <v>129</v>
      </c>
      <c r="E71" s="17">
        <v>22000</v>
      </c>
      <c r="F71" s="3" t="s">
        <v>9</v>
      </c>
      <c r="G71" s="136"/>
      <c r="H71" s="2" t="s">
        <v>439</v>
      </c>
      <c r="I71" s="5"/>
      <c r="J71" s="10"/>
      <c r="K71" s="5"/>
    </row>
    <row r="72" spans="2:12" x14ac:dyDescent="0.35">
      <c r="D72" s="4" t="s">
        <v>124</v>
      </c>
      <c r="E72" s="19">
        <v>0.75</v>
      </c>
      <c r="F72" s="3" t="s">
        <v>11</v>
      </c>
      <c r="G72" s="136"/>
      <c r="H72" s="10" t="s">
        <v>359</v>
      </c>
      <c r="I72" s="5"/>
      <c r="J72" s="10"/>
      <c r="K72" s="5"/>
      <c r="L72" s="27"/>
    </row>
    <row r="73" spans="2:12" ht="16" thickBot="1" x14ac:dyDescent="0.4">
      <c r="D73" s="4" t="s">
        <v>131</v>
      </c>
      <c r="E73" s="32">
        <v>5</v>
      </c>
      <c r="F73" s="3" t="s">
        <v>11</v>
      </c>
      <c r="G73" s="6"/>
      <c r="H73" s="4"/>
      <c r="J73" s="4"/>
      <c r="K73" s="5"/>
    </row>
    <row r="74" spans="2:12" x14ac:dyDescent="0.35">
      <c r="E74" s="14" t="s">
        <v>8</v>
      </c>
      <c r="G74" s="6"/>
      <c r="H74" s="4"/>
      <c r="J74" s="4"/>
      <c r="K74" s="5"/>
    </row>
    <row r="75" spans="2:12" ht="16" thickBot="1" x14ac:dyDescent="0.4">
      <c r="D75" s="26" t="s">
        <v>17</v>
      </c>
      <c r="E75" s="27" t="s">
        <v>130</v>
      </c>
      <c r="G75" s="6"/>
      <c r="J75" s="4"/>
      <c r="K75" s="5"/>
    </row>
    <row r="76" spans="2:12" ht="16" thickBot="1" x14ac:dyDescent="0.4">
      <c r="D76" s="26" t="s">
        <v>18</v>
      </c>
      <c r="E76" s="30">
        <f>E71* E72 * E73</f>
        <v>82500</v>
      </c>
      <c r="F76" s="8" t="s">
        <v>15</v>
      </c>
      <c r="G76" s="6"/>
      <c r="H76" s="6"/>
      <c r="I76" s="6"/>
      <c r="J76" s="6"/>
      <c r="K76" s="6"/>
      <c r="L76" s="6"/>
    </row>
    <row r="77" spans="2:12" x14ac:dyDescent="0.35">
      <c r="B77" s="7" t="s">
        <v>24</v>
      </c>
      <c r="G77" s="6"/>
      <c r="H77" s="6"/>
      <c r="I77" s="6"/>
      <c r="J77" s="6"/>
      <c r="K77" s="6"/>
      <c r="L77" s="6"/>
    </row>
    <row r="78" spans="2:12" x14ac:dyDescent="0.35">
      <c r="B78" s="34" t="s">
        <v>68</v>
      </c>
      <c r="G78" s="6"/>
      <c r="H78" s="6"/>
      <c r="I78" s="6"/>
      <c r="J78" s="6"/>
      <c r="K78" s="6"/>
      <c r="L78" s="6"/>
    </row>
    <row r="79" spans="2:12" x14ac:dyDescent="0.35">
      <c r="B79" s="10" t="s">
        <v>25</v>
      </c>
      <c r="G79" s="6"/>
      <c r="H79" s="6"/>
      <c r="I79" s="6"/>
      <c r="J79" s="6"/>
      <c r="K79" s="6"/>
      <c r="L79" s="6"/>
    </row>
    <row r="80" spans="2:12" x14ac:dyDescent="0.35">
      <c r="B80" s="10" t="s">
        <v>27</v>
      </c>
      <c r="G80" s="6"/>
      <c r="H80" s="6"/>
      <c r="I80" s="6"/>
      <c r="J80" s="6"/>
      <c r="K80" s="6"/>
      <c r="L80" s="6"/>
    </row>
    <row r="81" spans="2:12" x14ac:dyDescent="0.35">
      <c r="G81" s="6"/>
      <c r="H81" s="6"/>
      <c r="I81" s="6"/>
      <c r="J81" s="6"/>
      <c r="K81" s="6"/>
      <c r="L81" s="6"/>
    </row>
    <row r="82" spans="2:12" x14ac:dyDescent="0.35">
      <c r="B82" s="3" t="s">
        <v>430</v>
      </c>
      <c r="G82" s="6"/>
      <c r="H82" s="6"/>
      <c r="I82" s="6"/>
      <c r="J82" s="6"/>
      <c r="K82" s="6"/>
      <c r="L82" s="6"/>
    </row>
    <row r="83" spans="2:12" x14ac:dyDescent="0.35">
      <c r="B83" s="3" t="s">
        <v>431</v>
      </c>
      <c r="G83" s="6"/>
      <c r="H83" s="6"/>
      <c r="I83" s="6"/>
      <c r="J83" s="6"/>
      <c r="K83" s="6"/>
      <c r="L83" s="6"/>
    </row>
    <row r="84" spans="2:12" x14ac:dyDescent="0.35">
      <c r="B84" s="3" t="s">
        <v>100</v>
      </c>
      <c r="G84" s="6"/>
      <c r="H84" s="6"/>
      <c r="I84" s="6"/>
      <c r="J84" s="6"/>
      <c r="K84" s="6"/>
      <c r="L84" s="6"/>
    </row>
    <row r="85" spans="2:12" x14ac:dyDescent="0.35">
      <c r="G85" s="6"/>
      <c r="H85" s="6"/>
      <c r="I85" s="6"/>
      <c r="J85" s="6"/>
      <c r="K85" s="6"/>
      <c r="L85" s="6"/>
    </row>
    <row r="86" spans="2:12" x14ac:dyDescent="0.35">
      <c r="G86" s="6"/>
      <c r="H86" s="6"/>
      <c r="I86" s="6"/>
      <c r="J86" s="6"/>
      <c r="K86" s="6"/>
      <c r="L86" s="6"/>
    </row>
    <row r="87" spans="2:12" x14ac:dyDescent="0.35">
      <c r="G87" s="6"/>
      <c r="H87" s="6"/>
      <c r="I87" s="6"/>
      <c r="J87" s="6"/>
      <c r="K87" s="6"/>
      <c r="L87" s="6"/>
    </row>
    <row r="88" spans="2:12" x14ac:dyDescent="0.35">
      <c r="G88" s="6"/>
      <c r="H88" s="6"/>
      <c r="I88" s="6"/>
      <c r="J88" s="6"/>
      <c r="K88" s="6"/>
      <c r="L88" s="6"/>
    </row>
    <row r="89" spans="2:12" x14ac:dyDescent="0.35">
      <c r="G89" s="6"/>
      <c r="H89" s="6"/>
      <c r="I89" s="6"/>
      <c r="J89" s="6"/>
      <c r="K89" s="6"/>
      <c r="L89" s="6"/>
    </row>
    <row r="90" spans="2:12" x14ac:dyDescent="0.35">
      <c r="G90" s="6"/>
      <c r="H90" s="6"/>
      <c r="I90" s="6"/>
      <c r="J90" s="6"/>
      <c r="K90" s="6"/>
      <c r="L90" s="6"/>
    </row>
    <row r="91" spans="2:12" x14ac:dyDescent="0.35">
      <c r="G91" s="6"/>
      <c r="H91" s="6"/>
      <c r="I91" s="6"/>
      <c r="J91" s="6"/>
      <c r="K91" s="6"/>
      <c r="L91" s="6"/>
    </row>
    <row r="92" spans="2:12" x14ac:dyDescent="0.35">
      <c r="G92" s="6"/>
      <c r="H92" s="6"/>
      <c r="I92" s="6"/>
      <c r="J92" s="6"/>
      <c r="K92" s="6"/>
      <c r="L92" s="6"/>
    </row>
    <row r="93" spans="2:12" x14ac:dyDescent="0.35">
      <c r="G93" s="6"/>
      <c r="H93" s="6"/>
      <c r="I93" s="6"/>
      <c r="J93" s="6"/>
      <c r="K93" s="6"/>
      <c r="L93" s="6"/>
    </row>
    <row r="94" spans="2:12" x14ac:dyDescent="0.35">
      <c r="G94" s="6"/>
      <c r="H94" s="6"/>
      <c r="I94" s="6"/>
      <c r="J94" s="6"/>
      <c r="K94" s="6"/>
      <c r="L94" s="6"/>
    </row>
    <row r="95" spans="2:12" x14ac:dyDescent="0.35">
      <c r="G95" s="6"/>
      <c r="H95" s="6"/>
      <c r="I95" s="6"/>
      <c r="J95" s="6"/>
      <c r="K95" s="6"/>
      <c r="L95" s="6"/>
    </row>
    <row r="96" spans="2:12" x14ac:dyDescent="0.35">
      <c r="G96" s="6"/>
      <c r="H96" s="6"/>
      <c r="I96" s="6"/>
      <c r="J96" s="6"/>
      <c r="K96" s="6"/>
      <c r="L96" s="6"/>
    </row>
    <row r="97" spans="4:12" x14ac:dyDescent="0.35">
      <c r="G97" s="6"/>
      <c r="H97" s="6"/>
      <c r="I97" s="6"/>
      <c r="J97" s="6"/>
      <c r="K97" s="6"/>
      <c r="L97" s="6"/>
    </row>
    <row r="98" spans="4:12" x14ac:dyDescent="0.35">
      <c r="G98" s="6"/>
      <c r="H98" s="6"/>
      <c r="I98" s="6"/>
      <c r="J98" s="6"/>
      <c r="K98" s="6"/>
      <c r="L98" s="6"/>
    </row>
    <row r="99" spans="4:12" x14ac:dyDescent="0.35">
      <c r="G99" s="6"/>
      <c r="H99" s="6"/>
      <c r="I99" s="6"/>
      <c r="J99" s="6"/>
      <c r="K99" s="6"/>
      <c r="L99" s="6"/>
    </row>
    <row r="100" spans="4:12" x14ac:dyDescent="0.35">
      <c r="G100" s="6"/>
      <c r="H100" s="6"/>
      <c r="I100" s="6"/>
      <c r="J100" s="6"/>
      <c r="K100" s="6"/>
      <c r="L100" s="6"/>
    </row>
    <row r="101" spans="4:12" x14ac:dyDescent="0.35">
      <c r="G101" s="6"/>
      <c r="H101" s="6"/>
      <c r="I101" s="6"/>
      <c r="J101" s="6"/>
      <c r="K101" s="6"/>
      <c r="L101" s="6"/>
    </row>
    <row r="102" spans="4:12" x14ac:dyDescent="0.35">
      <c r="F102" s="27"/>
      <c r="G102" s="6"/>
      <c r="H102" s="6"/>
      <c r="I102" s="6"/>
      <c r="J102" s="6"/>
      <c r="K102" s="6"/>
      <c r="L102" s="6"/>
    </row>
    <row r="103" spans="4:12" x14ac:dyDescent="0.35">
      <c r="G103" s="6"/>
      <c r="H103" s="6"/>
      <c r="I103" s="6"/>
      <c r="J103" s="6"/>
      <c r="K103" s="6"/>
      <c r="L103" s="6"/>
    </row>
    <row r="104" spans="4:12" ht="16" thickBot="1" x14ac:dyDescent="0.4">
      <c r="D104" s="26" t="s">
        <v>28</v>
      </c>
      <c r="E104" s="14" t="s">
        <v>7</v>
      </c>
      <c r="G104" s="6"/>
      <c r="H104" s="6"/>
      <c r="I104" s="6"/>
      <c r="J104" s="6"/>
      <c r="K104" s="6"/>
      <c r="L104" s="6"/>
    </row>
    <row r="105" spans="4:12" x14ac:dyDescent="0.35">
      <c r="D105" s="4" t="s">
        <v>128</v>
      </c>
      <c r="E105" s="35">
        <v>13600</v>
      </c>
      <c r="F105" s="3" t="s">
        <v>9</v>
      </c>
      <c r="G105" s="36"/>
      <c r="H105" s="37"/>
      <c r="I105" s="38"/>
      <c r="J105" s="6"/>
      <c r="K105" s="6"/>
      <c r="L105" s="6"/>
    </row>
    <row r="106" spans="4:12" x14ac:dyDescent="0.35">
      <c r="D106" s="4" t="s">
        <v>32</v>
      </c>
      <c r="E106" s="19">
        <v>0.25</v>
      </c>
      <c r="G106" s="39"/>
      <c r="H106" s="37"/>
      <c r="I106" s="40"/>
      <c r="J106" s="6"/>
      <c r="K106" s="6"/>
      <c r="L106" s="6"/>
    </row>
    <row r="107" spans="4:12" x14ac:dyDescent="0.35">
      <c r="D107" s="4" t="s">
        <v>10</v>
      </c>
      <c r="E107" s="19">
        <v>5</v>
      </c>
      <c r="F107" s="3" t="s">
        <v>11</v>
      </c>
      <c r="G107" s="39"/>
      <c r="H107" s="37"/>
      <c r="I107" s="38"/>
      <c r="J107" s="6"/>
      <c r="K107" s="6"/>
      <c r="L107" s="6"/>
    </row>
    <row r="108" spans="4:12" ht="16" thickBot="1" x14ac:dyDescent="0.4">
      <c r="D108" s="4" t="s">
        <v>13</v>
      </c>
      <c r="E108" s="24">
        <v>0.8</v>
      </c>
      <c r="G108" s="41"/>
      <c r="H108" s="37"/>
      <c r="I108" s="42"/>
      <c r="J108" s="6"/>
      <c r="K108" s="6"/>
      <c r="L108" s="6"/>
    </row>
    <row r="109" spans="4:12" x14ac:dyDescent="0.35">
      <c r="E109" s="14" t="s">
        <v>8</v>
      </c>
      <c r="G109" s="6"/>
      <c r="H109" s="6" t="s">
        <v>22</v>
      </c>
      <c r="I109" s="6"/>
      <c r="J109" s="6"/>
      <c r="K109" s="6"/>
      <c r="L109" s="6"/>
    </row>
    <row r="110" spans="4:12" x14ac:dyDescent="0.35">
      <c r="D110" s="26" t="s">
        <v>33</v>
      </c>
      <c r="E110" s="27">
        <v>45</v>
      </c>
      <c r="F110" s="8" t="s">
        <v>34</v>
      </c>
      <c r="G110" s="6"/>
      <c r="H110" s="6"/>
      <c r="I110" s="6"/>
      <c r="J110" s="6"/>
      <c r="K110" s="6"/>
      <c r="L110" s="6"/>
    </row>
    <row r="111" spans="4:12" x14ac:dyDescent="0.35">
      <c r="D111" s="26" t="s">
        <v>29</v>
      </c>
      <c r="E111" s="27" t="s">
        <v>66</v>
      </c>
      <c r="F111" s="8"/>
      <c r="G111" s="6"/>
      <c r="H111" s="6"/>
      <c r="I111" s="6"/>
      <c r="J111" s="6"/>
      <c r="K111" s="6"/>
      <c r="L111" s="6"/>
    </row>
    <row r="112" spans="4:12" x14ac:dyDescent="0.35">
      <c r="D112" s="26" t="s">
        <v>30</v>
      </c>
      <c r="E112" s="43">
        <f>E106  * SIN(E110 / 57.296)</f>
        <v>0.17677616101029653</v>
      </c>
      <c r="F112" s="8" t="s">
        <v>11</v>
      </c>
      <c r="G112" s="6"/>
      <c r="H112" s="6"/>
      <c r="I112" s="6"/>
      <c r="J112" s="6"/>
      <c r="K112" s="6"/>
      <c r="L112" s="6"/>
    </row>
    <row r="113" spans="2:12" ht="16" thickBot="1" x14ac:dyDescent="0.4">
      <c r="D113" s="26" t="s">
        <v>17</v>
      </c>
      <c r="E113" s="27" t="s">
        <v>31</v>
      </c>
      <c r="F113" s="8"/>
      <c r="G113" s="6"/>
      <c r="H113" s="6"/>
      <c r="I113" s="6"/>
      <c r="J113" s="6"/>
      <c r="K113" s="6"/>
      <c r="L113" s="6"/>
    </row>
    <row r="114" spans="2:12" ht="16" thickBot="1" x14ac:dyDescent="0.4">
      <c r="D114" s="26" t="s">
        <v>18</v>
      </c>
      <c r="E114" s="33">
        <f>2 * E105 * E112 * E107 * E108</f>
        <v>19233.246317920264</v>
      </c>
      <c r="F114" s="8" t="s">
        <v>15</v>
      </c>
      <c r="G114" s="6"/>
      <c r="H114" s="6"/>
      <c r="I114" s="6"/>
      <c r="J114" s="6"/>
      <c r="K114" s="6"/>
      <c r="L114" s="6"/>
    </row>
    <row r="115" spans="2:12" x14ac:dyDescent="0.35">
      <c r="G115" s="6"/>
      <c r="H115" s="6"/>
      <c r="I115" s="6"/>
      <c r="J115" s="6"/>
      <c r="K115" s="6"/>
      <c r="L115" s="6"/>
    </row>
    <row r="116" spans="2:12" ht="16" thickBot="1" x14ac:dyDescent="0.4">
      <c r="B116" s="44" t="s">
        <v>67</v>
      </c>
      <c r="D116" s="26" t="s">
        <v>122</v>
      </c>
      <c r="E116" s="14" t="s">
        <v>7</v>
      </c>
      <c r="G116" s="6"/>
      <c r="H116" s="6"/>
      <c r="I116" s="6"/>
      <c r="J116" s="6"/>
      <c r="K116" s="6"/>
      <c r="L116" s="6"/>
    </row>
    <row r="117" spans="2:12" x14ac:dyDescent="0.35">
      <c r="B117" s="10" t="s">
        <v>86</v>
      </c>
      <c r="D117" s="4" t="s">
        <v>129</v>
      </c>
      <c r="E117" s="17">
        <v>18000</v>
      </c>
      <c r="F117" s="3" t="s">
        <v>9</v>
      </c>
      <c r="G117" s="6"/>
      <c r="H117" s="6"/>
      <c r="I117" s="6"/>
      <c r="J117" s="6"/>
      <c r="K117" s="6"/>
      <c r="L117" s="6"/>
    </row>
    <row r="118" spans="2:12" x14ac:dyDescent="0.35">
      <c r="B118" s="10" t="s">
        <v>87</v>
      </c>
      <c r="D118" s="4" t="s">
        <v>133</v>
      </c>
      <c r="E118" s="19">
        <v>0.75</v>
      </c>
      <c r="F118" s="3" t="s">
        <v>11</v>
      </c>
      <c r="G118" s="6"/>
      <c r="H118" s="6"/>
      <c r="I118" s="6"/>
      <c r="J118" s="6"/>
      <c r="K118" s="6"/>
      <c r="L118" s="6"/>
    </row>
    <row r="119" spans="2:12" ht="16" thickBot="1" x14ac:dyDescent="0.4">
      <c r="B119" s="3" t="s">
        <v>349</v>
      </c>
      <c r="C119" s="2" t="s">
        <v>22</v>
      </c>
      <c r="D119" s="4" t="s">
        <v>131</v>
      </c>
      <c r="E119" s="32">
        <v>4</v>
      </c>
      <c r="F119" s="3" t="s">
        <v>11</v>
      </c>
      <c r="G119" s="6"/>
      <c r="H119" s="6"/>
      <c r="I119" s="6"/>
      <c r="J119" s="6"/>
      <c r="K119" s="6"/>
      <c r="L119" s="6"/>
    </row>
    <row r="120" spans="2:12" x14ac:dyDescent="0.35">
      <c r="B120" s="45" t="s">
        <v>351</v>
      </c>
      <c r="C120" s="10"/>
      <c r="E120" s="14" t="s">
        <v>8</v>
      </c>
      <c r="G120" s="6"/>
      <c r="H120" s="6"/>
      <c r="I120" s="6"/>
      <c r="J120" s="6"/>
      <c r="K120" s="6"/>
      <c r="L120" s="6"/>
    </row>
    <row r="121" spans="2:12" ht="16" thickBot="1" x14ac:dyDescent="0.4">
      <c r="B121" s="45" t="s">
        <v>350</v>
      </c>
      <c r="C121" s="10"/>
      <c r="D121" s="26" t="s">
        <v>17</v>
      </c>
      <c r="E121" s="27" t="s">
        <v>134</v>
      </c>
      <c r="G121" s="6"/>
      <c r="H121" s="6"/>
      <c r="I121" s="6"/>
      <c r="J121" s="6"/>
      <c r="K121" s="6"/>
      <c r="L121" s="6"/>
    </row>
    <row r="122" spans="2:12" ht="16" thickBot="1" x14ac:dyDescent="0.4">
      <c r="B122" s="44" t="s">
        <v>352</v>
      </c>
      <c r="C122" s="10"/>
      <c r="D122" s="26" t="s">
        <v>18</v>
      </c>
      <c r="E122" s="30">
        <f>E117 * E118 * E119</f>
        <v>54000</v>
      </c>
      <c r="F122" s="8" t="s">
        <v>15</v>
      </c>
      <c r="G122" s="6"/>
      <c r="H122" s="6"/>
      <c r="I122" s="6"/>
      <c r="J122" s="6"/>
      <c r="K122" s="6"/>
      <c r="L122" s="6"/>
    </row>
    <row r="123" spans="2:12" x14ac:dyDescent="0.35">
      <c r="C123" s="10"/>
      <c r="G123" s="6"/>
      <c r="H123" s="6"/>
      <c r="I123" s="6"/>
      <c r="J123" s="6"/>
      <c r="K123" s="6"/>
      <c r="L123" s="6"/>
    </row>
    <row r="124" spans="2:12" x14ac:dyDescent="0.35">
      <c r="B124" s="2" t="s">
        <v>19</v>
      </c>
      <c r="G124" s="6"/>
      <c r="H124" s="6"/>
      <c r="I124" s="6"/>
      <c r="J124" s="6"/>
      <c r="K124" s="6"/>
      <c r="L124" s="6"/>
    </row>
    <row r="125" spans="2:12" x14ac:dyDescent="0.35">
      <c r="G125" s="6"/>
      <c r="H125" s="6"/>
      <c r="I125" s="6"/>
      <c r="J125" s="6"/>
      <c r="K125" s="6"/>
      <c r="L125" s="6"/>
    </row>
    <row r="126" spans="2:12" x14ac:dyDescent="0.35">
      <c r="G126" s="6"/>
      <c r="H126" s="6"/>
      <c r="I126" s="6"/>
      <c r="J126" s="6"/>
      <c r="K126" s="6"/>
      <c r="L126" s="6"/>
    </row>
    <row r="127" spans="2:12" x14ac:dyDescent="0.35">
      <c r="G127" s="6"/>
      <c r="H127" s="6"/>
      <c r="I127" s="6"/>
      <c r="J127" s="6"/>
      <c r="K127" s="6"/>
      <c r="L127" s="6"/>
    </row>
    <row r="128" spans="2:12" x14ac:dyDescent="0.35">
      <c r="G128" s="6"/>
      <c r="H128" s="6"/>
      <c r="I128" s="6"/>
      <c r="J128" s="6"/>
      <c r="K128" s="6"/>
      <c r="L128" s="6"/>
    </row>
    <row r="129" spans="2:12" x14ac:dyDescent="0.35">
      <c r="G129" s="6"/>
      <c r="H129" s="6"/>
      <c r="I129" s="6"/>
      <c r="J129" s="6"/>
      <c r="K129" s="6"/>
      <c r="L129" s="6"/>
    </row>
    <row r="130" spans="2:12" x14ac:dyDescent="0.35">
      <c r="G130" s="6"/>
      <c r="H130" s="6"/>
      <c r="I130" s="6"/>
      <c r="J130" s="6"/>
      <c r="K130" s="6"/>
      <c r="L130" s="6"/>
    </row>
    <row r="131" spans="2:12" x14ac:dyDescent="0.35">
      <c r="G131" s="6"/>
      <c r="H131" s="6"/>
      <c r="I131" s="6"/>
      <c r="J131" s="6"/>
      <c r="K131" s="6"/>
      <c r="L131" s="6"/>
    </row>
    <row r="132" spans="2:12" x14ac:dyDescent="0.35">
      <c r="G132" s="6"/>
      <c r="H132" s="6"/>
      <c r="I132" s="6"/>
      <c r="J132" s="6"/>
      <c r="K132" s="6"/>
      <c r="L132" s="6"/>
    </row>
    <row r="133" spans="2:12" x14ac:dyDescent="0.35">
      <c r="G133" s="6"/>
      <c r="H133" s="6"/>
      <c r="I133" s="6"/>
      <c r="J133" s="6"/>
      <c r="K133" s="6"/>
      <c r="L133" s="6"/>
    </row>
    <row r="134" spans="2:12" x14ac:dyDescent="0.35">
      <c r="G134" s="6"/>
      <c r="H134" s="6"/>
      <c r="I134" s="6"/>
      <c r="J134" s="6"/>
      <c r="K134" s="6"/>
      <c r="L134" s="6"/>
    </row>
    <row r="135" spans="2:12" x14ac:dyDescent="0.35">
      <c r="G135" s="6"/>
      <c r="H135" s="6"/>
      <c r="I135" s="6"/>
      <c r="J135" s="6"/>
      <c r="K135" s="6"/>
      <c r="L135" s="6"/>
    </row>
    <row r="136" spans="2:12" x14ac:dyDescent="0.35">
      <c r="G136" s="6"/>
      <c r="H136" s="6"/>
      <c r="I136" s="6"/>
      <c r="J136" s="6"/>
      <c r="K136" s="6"/>
      <c r="L136" s="6"/>
    </row>
    <row r="137" spans="2:12" x14ac:dyDescent="0.35">
      <c r="G137" s="6"/>
      <c r="H137" s="6"/>
      <c r="I137" s="6"/>
      <c r="J137" s="6"/>
      <c r="K137" s="6"/>
      <c r="L137" s="6"/>
    </row>
    <row r="138" spans="2:12" x14ac:dyDescent="0.35">
      <c r="G138" s="6"/>
      <c r="H138" s="6"/>
      <c r="I138" s="6"/>
      <c r="J138" s="6"/>
      <c r="K138" s="6"/>
      <c r="L138" s="6"/>
    </row>
    <row r="139" spans="2:12" x14ac:dyDescent="0.35">
      <c r="G139" s="6"/>
      <c r="H139" s="6"/>
      <c r="I139" s="6"/>
      <c r="J139" s="6"/>
      <c r="K139" s="6"/>
      <c r="L139" s="6"/>
    </row>
    <row r="140" spans="2:12" x14ac:dyDescent="0.35">
      <c r="G140" s="6"/>
      <c r="H140" s="6"/>
      <c r="I140" s="6"/>
      <c r="J140" s="6"/>
      <c r="K140" s="6"/>
      <c r="L140" s="6"/>
    </row>
    <row r="141" spans="2:12" x14ac:dyDescent="0.35">
      <c r="D141" s="26" t="s">
        <v>14</v>
      </c>
      <c r="E141" s="2" t="s">
        <v>355</v>
      </c>
      <c r="G141" s="6"/>
      <c r="H141" s="6"/>
      <c r="I141" s="6"/>
      <c r="J141" s="6"/>
      <c r="K141" s="6"/>
      <c r="L141" s="6"/>
    </row>
    <row r="142" spans="2:12" x14ac:dyDescent="0.35">
      <c r="D142" s="26" t="s">
        <v>39</v>
      </c>
      <c r="E142" s="2" t="s">
        <v>353</v>
      </c>
      <c r="G142" s="6"/>
      <c r="H142" s="6"/>
      <c r="I142" s="6"/>
      <c r="J142" s="6"/>
      <c r="K142" s="6"/>
      <c r="L142" s="6"/>
    </row>
    <row r="143" spans="2:12" x14ac:dyDescent="0.35">
      <c r="D143" s="26" t="s">
        <v>37</v>
      </c>
      <c r="E143" s="2" t="s">
        <v>354</v>
      </c>
      <c r="G143" s="6"/>
      <c r="H143" s="6"/>
      <c r="I143" s="6"/>
      <c r="J143" s="6"/>
      <c r="K143" s="6"/>
      <c r="L143" s="6"/>
    </row>
    <row r="144" spans="2:12" x14ac:dyDescent="0.35">
      <c r="B144" s="47" t="s">
        <v>58</v>
      </c>
      <c r="C144" s="48"/>
      <c r="D144" s="49"/>
      <c r="E144" s="50"/>
      <c r="J144" s="6"/>
      <c r="K144" s="6"/>
      <c r="L144" s="6"/>
    </row>
    <row r="145" spans="2:12" x14ac:dyDescent="0.35">
      <c r="B145" s="49" t="s">
        <v>40</v>
      </c>
      <c r="C145" s="48" t="s">
        <v>41</v>
      </c>
      <c r="D145" s="49"/>
      <c r="E145" s="50"/>
      <c r="J145" s="6"/>
      <c r="K145" s="6"/>
      <c r="L145" s="6"/>
    </row>
    <row r="146" spans="2:12" x14ac:dyDescent="0.35">
      <c r="B146" s="49" t="s">
        <v>421</v>
      </c>
      <c r="C146" s="51" t="s">
        <v>422</v>
      </c>
      <c r="D146" s="49"/>
      <c r="E146" s="50"/>
      <c r="J146" s="6"/>
      <c r="K146" s="6"/>
      <c r="L146" s="6"/>
    </row>
    <row r="147" spans="2:12" x14ac:dyDescent="0.35">
      <c r="B147" s="49" t="s">
        <v>39</v>
      </c>
      <c r="C147" s="48" t="s">
        <v>38</v>
      </c>
      <c r="D147" s="49"/>
      <c r="E147" s="50"/>
      <c r="J147" s="6"/>
      <c r="K147" s="6"/>
      <c r="L147" s="6"/>
    </row>
    <row r="148" spans="2:12" x14ac:dyDescent="0.35">
      <c r="B148" s="49" t="s">
        <v>36</v>
      </c>
      <c r="C148" s="48" t="s">
        <v>35</v>
      </c>
      <c r="D148" s="49"/>
      <c r="E148" s="50"/>
      <c r="J148" s="6"/>
      <c r="K148" s="6"/>
      <c r="L148" s="6"/>
    </row>
    <row r="149" spans="2:12" x14ac:dyDescent="0.35">
      <c r="B149" s="49" t="s">
        <v>14</v>
      </c>
      <c r="C149" s="48" t="s">
        <v>423</v>
      </c>
      <c r="D149" s="49"/>
      <c r="E149" s="50"/>
      <c r="L149" s="6"/>
    </row>
    <row r="150" spans="2:12" x14ac:dyDescent="0.35">
      <c r="B150" s="49" t="s">
        <v>14</v>
      </c>
      <c r="C150" s="48" t="s">
        <v>424</v>
      </c>
      <c r="D150" s="49"/>
      <c r="E150" s="50"/>
      <c r="J150" s="6"/>
      <c r="K150" s="6"/>
      <c r="L150" s="6"/>
    </row>
    <row r="151" spans="2:12" x14ac:dyDescent="0.35">
      <c r="B151" s="49" t="s">
        <v>14</v>
      </c>
      <c r="C151" s="48" t="s">
        <v>425</v>
      </c>
      <c r="D151" s="49"/>
      <c r="E151" s="50"/>
      <c r="J151" s="6"/>
      <c r="K151" s="6"/>
      <c r="L151" s="6"/>
    </row>
    <row r="152" spans="2:12" x14ac:dyDescent="0.35">
      <c r="B152" s="49" t="s">
        <v>37</v>
      </c>
      <c r="C152" s="48" t="s">
        <v>55</v>
      </c>
      <c r="D152" s="49"/>
      <c r="E152" s="50" t="s">
        <v>426</v>
      </c>
      <c r="J152" s="6"/>
      <c r="K152" s="6"/>
      <c r="L152" s="6"/>
    </row>
    <row r="153" spans="2:12" x14ac:dyDescent="0.35">
      <c r="F153" s="27"/>
      <c r="J153" s="6"/>
      <c r="L153" s="6"/>
    </row>
    <row r="154" spans="2:12" x14ac:dyDescent="0.35">
      <c r="K154" s="6"/>
      <c r="L154" s="6"/>
    </row>
    <row r="155" spans="2:12" x14ac:dyDescent="0.35">
      <c r="K155" s="6"/>
      <c r="L155" s="6"/>
    </row>
    <row r="156" spans="2:12" x14ac:dyDescent="0.35">
      <c r="G156" s="6"/>
      <c r="H156" s="6"/>
      <c r="I156" s="6"/>
      <c r="J156" s="6"/>
      <c r="K156" s="6"/>
      <c r="L156" s="6"/>
    </row>
    <row r="157" spans="2:12" x14ac:dyDescent="0.35">
      <c r="G157" s="6"/>
      <c r="H157" s="52"/>
      <c r="I157" s="6"/>
      <c r="J157" s="6"/>
      <c r="K157" s="6"/>
      <c r="L157" s="6"/>
    </row>
    <row r="158" spans="2:12" x14ac:dyDescent="0.35">
      <c r="G158" s="6"/>
      <c r="H158" s="6"/>
      <c r="I158" s="6"/>
      <c r="J158" s="6"/>
      <c r="K158" s="6"/>
      <c r="L158" s="6"/>
    </row>
    <row r="159" spans="2:12" x14ac:dyDescent="0.35">
      <c r="G159" s="6"/>
      <c r="H159" s="6"/>
      <c r="I159" s="6"/>
      <c r="J159" s="6"/>
      <c r="K159" s="6"/>
      <c r="L159" s="6"/>
    </row>
    <row r="160" spans="2:12" x14ac:dyDescent="0.35">
      <c r="G160" s="6"/>
      <c r="H160" s="6"/>
      <c r="I160" s="6"/>
      <c r="J160" s="6"/>
      <c r="K160" s="6"/>
      <c r="L160" s="6"/>
    </row>
    <row r="161" spans="2:12" x14ac:dyDescent="0.35">
      <c r="G161" s="6"/>
      <c r="H161" s="6"/>
      <c r="I161" s="6"/>
      <c r="J161" s="6"/>
      <c r="K161" s="6"/>
      <c r="L161" s="6"/>
    </row>
    <row r="162" spans="2:12" x14ac:dyDescent="0.35">
      <c r="G162" s="6"/>
      <c r="H162" s="6"/>
      <c r="I162" s="6"/>
      <c r="J162" s="6"/>
      <c r="K162" s="6"/>
      <c r="L162" s="6"/>
    </row>
    <row r="163" spans="2:12" x14ac:dyDescent="0.35">
      <c r="G163" s="6"/>
      <c r="H163" s="6"/>
      <c r="I163" s="6"/>
      <c r="J163" s="6"/>
      <c r="K163" s="6"/>
      <c r="L163" s="6"/>
    </row>
    <row r="164" spans="2:12" x14ac:dyDescent="0.35">
      <c r="G164" s="6"/>
      <c r="H164" s="6"/>
      <c r="I164" s="6"/>
      <c r="J164" s="6"/>
      <c r="K164" s="6"/>
      <c r="L164" s="6"/>
    </row>
    <row r="165" spans="2:12" x14ac:dyDescent="0.35">
      <c r="G165" s="6"/>
      <c r="H165" s="6"/>
      <c r="I165" s="6"/>
      <c r="J165" s="6"/>
      <c r="K165" s="6"/>
      <c r="L165" s="6"/>
    </row>
    <row r="166" spans="2:12" x14ac:dyDescent="0.35">
      <c r="G166" s="6"/>
      <c r="H166" s="6"/>
      <c r="I166" s="6"/>
      <c r="J166" s="6"/>
      <c r="K166" s="6"/>
      <c r="L166" s="6"/>
    </row>
    <row r="167" spans="2:12" x14ac:dyDescent="0.35">
      <c r="B167" s="8" t="s">
        <v>356</v>
      </c>
      <c r="G167" s="6"/>
      <c r="H167" s="6"/>
      <c r="I167" s="6"/>
      <c r="J167" s="6"/>
      <c r="K167" s="6"/>
      <c r="L167" s="6"/>
    </row>
    <row r="168" spans="2:12" x14ac:dyDescent="0.35">
      <c r="B168" s="4" t="s">
        <v>56</v>
      </c>
      <c r="C168" s="3" t="s">
        <v>57</v>
      </c>
      <c r="D168" s="10" t="s">
        <v>22</v>
      </c>
      <c r="G168" s="6"/>
      <c r="H168" s="6"/>
      <c r="I168" s="6"/>
      <c r="J168" s="6"/>
      <c r="K168" s="6"/>
      <c r="L168" s="6"/>
    </row>
    <row r="169" spans="2:12" x14ac:dyDescent="0.35">
      <c r="B169" s="4" t="s">
        <v>46</v>
      </c>
      <c r="C169" s="3" t="s">
        <v>47</v>
      </c>
      <c r="F169" s="4"/>
      <c r="G169" s="6"/>
      <c r="H169" s="6"/>
      <c r="I169" s="6"/>
      <c r="J169" s="6"/>
      <c r="K169" s="6"/>
      <c r="L169" s="6"/>
    </row>
    <row r="170" spans="2:12" x14ac:dyDescent="0.35">
      <c r="B170" s="4" t="s">
        <v>29</v>
      </c>
      <c r="C170" s="3" t="s">
        <v>48</v>
      </c>
      <c r="D170" s="3"/>
      <c r="G170" s="6"/>
      <c r="H170" s="6"/>
      <c r="I170" s="6"/>
      <c r="J170" s="6"/>
      <c r="K170" s="6"/>
      <c r="L170" s="6"/>
    </row>
    <row r="171" spans="2:12" x14ac:dyDescent="0.35">
      <c r="B171" s="4" t="s">
        <v>49</v>
      </c>
      <c r="C171" s="5" t="s">
        <v>51</v>
      </c>
      <c r="D171" s="3"/>
      <c r="G171" s="6"/>
      <c r="H171" s="6"/>
      <c r="I171" s="6"/>
      <c r="J171" s="6"/>
      <c r="K171" s="6"/>
      <c r="L171" s="6"/>
    </row>
    <row r="172" spans="2:12" x14ac:dyDescent="0.35">
      <c r="B172" s="4" t="s">
        <v>50</v>
      </c>
      <c r="C172" s="3" t="s">
        <v>95</v>
      </c>
      <c r="D172" s="3"/>
      <c r="E172" s="3"/>
      <c r="G172" s="6"/>
      <c r="H172" s="6"/>
      <c r="I172" s="6"/>
      <c r="J172" s="6"/>
      <c r="K172" s="6"/>
      <c r="L172" s="6"/>
    </row>
    <row r="174" spans="2:12" ht="18" x14ac:dyDescent="0.4">
      <c r="E174" s="81" t="s">
        <v>59</v>
      </c>
    </row>
    <row r="175" spans="2:12" x14ac:dyDescent="0.35">
      <c r="G175" s="6"/>
      <c r="H175" s="6"/>
      <c r="I175" s="6"/>
      <c r="J175" s="6"/>
      <c r="K175" s="6"/>
      <c r="L175" s="6"/>
    </row>
    <row r="176" spans="2:12" x14ac:dyDescent="0.35">
      <c r="B176" s="61" t="s">
        <v>61</v>
      </c>
      <c r="C176" s="53" t="s">
        <v>7</v>
      </c>
      <c r="D176" s="48"/>
      <c r="E176" s="126" t="s">
        <v>61</v>
      </c>
      <c r="F176" s="127" t="s">
        <v>7</v>
      </c>
      <c r="G176" s="128"/>
      <c r="H176" s="13"/>
      <c r="I176" s="6"/>
      <c r="J176" s="6"/>
      <c r="K176" s="22"/>
      <c r="L176" s="6"/>
    </row>
    <row r="177" spans="2:12" x14ac:dyDescent="0.35">
      <c r="B177" s="49" t="s">
        <v>53</v>
      </c>
      <c r="C177" s="54">
        <v>16899.913344822395</v>
      </c>
      <c r="D177" s="51" t="s">
        <v>15</v>
      </c>
      <c r="E177" s="129" t="s">
        <v>53</v>
      </c>
      <c r="F177" s="130">
        <v>16899.913344822395</v>
      </c>
      <c r="G177" s="131" t="s">
        <v>15</v>
      </c>
      <c r="H177" s="13"/>
      <c r="I177" s="6"/>
      <c r="J177" s="6"/>
      <c r="K177" s="6"/>
      <c r="L177" s="6"/>
    </row>
    <row r="178" spans="2:12" x14ac:dyDescent="0.35">
      <c r="B178" s="49" t="s">
        <v>32</v>
      </c>
      <c r="C178" s="55">
        <v>0.375</v>
      </c>
      <c r="D178" s="48" t="s">
        <v>11</v>
      </c>
      <c r="E178" s="129" t="s">
        <v>32</v>
      </c>
      <c r="F178" s="132">
        <v>0.375</v>
      </c>
      <c r="G178" s="128" t="s">
        <v>11</v>
      </c>
      <c r="H178" s="13"/>
      <c r="I178" s="6"/>
      <c r="J178" s="6"/>
      <c r="K178" s="6"/>
      <c r="L178" s="6"/>
    </row>
    <row r="179" spans="2:12" ht="16" thickBot="1" x14ac:dyDescent="0.4">
      <c r="B179" s="49" t="s">
        <v>54</v>
      </c>
      <c r="C179" s="55">
        <v>4</v>
      </c>
      <c r="D179" s="48" t="s">
        <v>11</v>
      </c>
      <c r="E179" s="129" t="s">
        <v>54</v>
      </c>
      <c r="F179" s="132">
        <v>4</v>
      </c>
      <c r="G179" s="128" t="s">
        <v>11</v>
      </c>
      <c r="H179" s="13"/>
      <c r="I179" s="52"/>
      <c r="J179" s="56"/>
      <c r="K179" s="6"/>
      <c r="L179" s="6"/>
    </row>
    <row r="180" spans="2:12" ht="16" thickBot="1" x14ac:dyDescent="0.4">
      <c r="B180" s="49" t="s">
        <v>52</v>
      </c>
      <c r="C180" s="57">
        <v>45</v>
      </c>
      <c r="D180" s="48" t="s">
        <v>34</v>
      </c>
      <c r="E180" s="129" t="s">
        <v>52</v>
      </c>
      <c r="F180" s="133">
        <v>67.500255461001757</v>
      </c>
      <c r="G180" s="128" t="s">
        <v>34</v>
      </c>
      <c r="H180" s="13"/>
      <c r="I180" s="52"/>
      <c r="J180" s="58"/>
      <c r="K180" s="59"/>
      <c r="L180" s="6"/>
    </row>
    <row r="181" spans="2:12" x14ac:dyDescent="0.35">
      <c r="B181" s="49"/>
      <c r="C181" s="53" t="s">
        <v>8</v>
      </c>
      <c r="D181" s="51"/>
      <c r="E181" s="129"/>
      <c r="F181" s="127" t="s">
        <v>8</v>
      </c>
      <c r="G181" s="131"/>
      <c r="H181" s="13"/>
      <c r="I181" s="52"/>
      <c r="J181" s="60"/>
      <c r="K181" s="6"/>
      <c r="L181" s="6"/>
    </row>
    <row r="182" spans="2:12" ht="16" thickBot="1" x14ac:dyDescent="0.4">
      <c r="B182" s="49" t="s">
        <v>50</v>
      </c>
      <c r="C182" s="48" t="s">
        <v>420</v>
      </c>
      <c r="D182" s="48"/>
      <c r="E182" s="129" t="s">
        <v>50</v>
      </c>
      <c r="F182" s="128" t="s">
        <v>420</v>
      </c>
      <c r="G182" s="128"/>
      <c r="H182" s="13"/>
      <c r="I182" s="52"/>
      <c r="J182" s="60"/>
      <c r="K182" s="6"/>
      <c r="L182" s="6"/>
    </row>
    <row r="183" spans="2:12" ht="16" thickBot="1" x14ac:dyDescent="0.4">
      <c r="B183" s="61" t="s">
        <v>50</v>
      </c>
      <c r="C183" s="62">
        <f>(C177*SIN(C180/57.296))*((COS(C180/57.296)+SIN(C180/57.296))/(C178*C179))</f>
        <v>11266.574844523917</v>
      </c>
      <c r="D183" s="47" t="s">
        <v>9</v>
      </c>
      <c r="E183" s="134" t="s">
        <v>50</v>
      </c>
      <c r="F183" s="142">
        <f>(F177*SIN(F180/57.296))*((COS(F180/57.296)+SIN(F180/57.296))/(F178*F179))</f>
        <v>13600.000000000007</v>
      </c>
      <c r="G183" s="135" t="s">
        <v>9</v>
      </c>
      <c r="H183" s="13"/>
      <c r="I183" s="52"/>
      <c r="J183" s="60"/>
      <c r="K183" s="6"/>
      <c r="L183" s="6"/>
    </row>
    <row r="184" spans="2:12" x14ac:dyDescent="0.35">
      <c r="G184" s="6"/>
      <c r="H184" s="6"/>
      <c r="I184" s="52"/>
      <c r="J184" s="58"/>
      <c r="K184" s="59"/>
      <c r="L184" s="6"/>
    </row>
    <row r="185" spans="2:12" x14ac:dyDescent="0.35">
      <c r="B185" s="8" t="s">
        <v>60</v>
      </c>
      <c r="E185" s="8" t="s">
        <v>63</v>
      </c>
      <c r="H185" s="4"/>
      <c r="I185" s="5"/>
      <c r="J185" s="56"/>
      <c r="K185" s="52"/>
      <c r="L185" s="6"/>
    </row>
    <row r="186" spans="2:12" x14ac:dyDescent="0.35">
      <c r="B186" s="3" t="s">
        <v>501</v>
      </c>
      <c r="C186" s="4"/>
      <c r="E186" s="3" t="s">
        <v>64</v>
      </c>
      <c r="H186" s="4"/>
      <c r="I186" s="5"/>
      <c r="J186" s="6"/>
      <c r="K186" s="52"/>
      <c r="L186" s="6"/>
    </row>
    <row r="187" spans="2:12" x14ac:dyDescent="0.35">
      <c r="B187" s="22" t="s">
        <v>500</v>
      </c>
      <c r="C187" s="4"/>
      <c r="E187" s="3" t="s">
        <v>65</v>
      </c>
      <c r="H187" s="4"/>
      <c r="I187" s="5"/>
      <c r="J187" s="63"/>
      <c r="K187" s="59"/>
      <c r="L187" s="6"/>
    </row>
    <row r="188" spans="2:12" x14ac:dyDescent="0.35">
      <c r="B188" s="3" t="s">
        <v>502</v>
      </c>
      <c r="C188" s="4"/>
      <c r="G188" s="6"/>
      <c r="H188" s="6"/>
      <c r="I188" s="6"/>
      <c r="J188" s="56"/>
      <c r="K188" s="6"/>
      <c r="L188" s="58"/>
    </row>
    <row r="189" spans="2:12" x14ac:dyDescent="0.35">
      <c r="C189" s="4"/>
      <c r="G189" s="6"/>
      <c r="H189" s="6"/>
      <c r="I189" s="6"/>
      <c r="J189" s="64"/>
      <c r="K189" s="59"/>
      <c r="L189" s="58"/>
    </row>
    <row r="190" spans="2:12" x14ac:dyDescent="0.35">
      <c r="B190" s="3" t="s">
        <v>503</v>
      </c>
      <c r="C190" s="4"/>
      <c r="G190" s="6"/>
      <c r="H190" s="6"/>
      <c r="I190" s="6"/>
      <c r="J190" s="60"/>
      <c r="K190" s="6"/>
      <c r="L190" s="58"/>
    </row>
    <row r="191" spans="2:12" x14ac:dyDescent="0.35">
      <c r="C191" s="4"/>
      <c r="G191" s="6"/>
      <c r="H191" s="6"/>
      <c r="I191" s="6"/>
      <c r="J191" s="60"/>
      <c r="K191" s="6"/>
      <c r="L191" s="58"/>
    </row>
    <row r="192" spans="2:12" x14ac:dyDescent="0.35">
      <c r="B192" s="66" t="s">
        <v>62</v>
      </c>
      <c r="C192" s="4"/>
      <c r="G192" s="6"/>
      <c r="H192" s="6"/>
      <c r="I192" s="6"/>
      <c r="J192" s="60"/>
      <c r="K192" s="6"/>
      <c r="L192" s="58"/>
    </row>
    <row r="193" spans="2:12" x14ac:dyDescent="0.35">
      <c r="G193" s="6"/>
      <c r="H193" s="6"/>
      <c r="I193" s="6"/>
      <c r="J193" s="56"/>
      <c r="K193" s="59"/>
      <c r="L193" s="58"/>
    </row>
    <row r="194" spans="2:12" x14ac:dyDescent="0.35">
      <c r="B194" s="3" t="s">
        <v>504</v>
      </c>
      <c r="C194" s="4"/>
      <c r="H194" s="6"/>
      <c r="I194" s="6"/>
      <c r="J194" s="6"/>
      <c r="K194" s="6"/>
      <c r="L194" s="58"/>
    </row>
    <row r="195" spans="2:12" x14ac:dyDescent="0.35">
      <c r="C195" s="4"/>
      <c r="G195" s="6"/>
      <c r="H195" s="6"/>
      <c r="I195" s="6"/>
      <c r="J195" s="65"/>
      <c r="K195" s="22"/>
      <c r="L195" s="58"/>
    </row>
    <row r="196" spans="2:12" x14ac:dyDescent="0.35">
      <c r="B196" s="3" t="s">
        <v>507</v>
      </c>
      <c r="C196" s="26"/>
      <c r="G196" s="6"/>
      <c r="H196" s="6"/>
      <c r="I196" s="6"/>
      <c r="J196" s="6"/>
      <c r="K196" s="52"/>
      <c r="L196" s="6"/>
    </row>
    <row r="197" spans="2:12" x14ac:dyDescent="0.35">
      <c r="G197" s="6"/>
      <c r="H197" s="6"/>
      <c r="I197" s="6"/>
      <c r="J197" s="64"/>
      <c r="K197" s="52"/>
      <c r="L197" s="6"/>
    </row>
    <row r="198" spans="2:12" x14ac:dyDescent="0.35">
      <c r="B198" s="3" t="s">
        <v>506</v>
      </c>
      <c r="C198" s="4"/>
      <c r="G198" s="6"/>
      <c r="H198" s="6"/>
      <c r="I198" s="6"/>
      <c r="J198" s="6"/>
      <c r="K198" s="6"/>
      <c r="L198" s="6"/>
    </row>
    <row r="199" spans="2:12" x14ac:dyDescent="0.35">
      <c r="C199" s="4"/>
      <c r="G199" s="6"/>
      <c r="H199" s="6"/>
      <c r="I199" s="6"/>
      <c r="J199" s="6"/>
      <c r="K199" s="6"/>
      <c r="L199" s="6"/>
    </row>
    <row r="200" spans="2:12" x14ac:dyDescent="0.35">
      <c r="B200" s="10" t="s">
        <v>505</v>
      </c>
      <c r="G200" s="6"/>
      <c r="H200" s="6"/>
      <c r="I200" s="6"/>
      <c r="J200" s="6"/>
      <c r="K200" s="6"/>
      <c r="L200" s="6"/>
    </row>
    <row r="201" spans="2:12" x14ac:dyDescent="0.35">
      <c r="B201" s="10" t="s">
        <v>508</v>
      </c>
      <c r="G201" s="6"/>
      <c r="H201" s="6"/>
      <c r="I201" s="6"/>
      <c r="J201" s="6"/>
      <c r="K201" s="6"/>
      <c r="L201" s="6"/>
    </row>
    <row r="202" spans="2:12" x14ac:dyDescent="0.35">
      <c r="B202" s="66" t="s">
        <v>509</v>
      </c>
      <c r="G202" s="6"/>
      <c r="H202" s="6"/>
      <c r="I202" s="6"/>
      <c r="J202" s="6"/>
      <c r="K202" s="6"/>
      <c r="L202" s="6"/>
    </row>
    <row r="203" spans="2:12" x14ac:dyDescent="0.35">
      <c r="B203" s="10"/>
      <c r="G203" s="6"/>
      <c r="H203" s="6"/>
      <c r="I203" s="6"/>
      <c r="J203" s="6"/>
      <c r="K203" s="6"/>
      <c r="L203" s="6"/>
    </row>
    <row r="204" spans="2:12" x14ac:dyDescent="0.35">
      <c r="B204" s="2"/>
      <c r="D204" s="10"/>
      <c r="G204" s="6"/>
      <c r="H204" s="6"/>
      <c r="I204" s="6"/>
      <c r="J204" s="6"/>
      <c r="K204" s="6"/>
      <c r="L204" s="6"/>
    </row>
    <row r="205" spans="2:12" x14ac:dyDescent="0.35">
      <c r="B205" s="10"/>
      <c r="D205" s="3"/>
      <c r="G205" s="6"/>
      <c r="H205" s="6"/>
      <c r="I205" s="6"/>
      <c r="J205" s="6"/>
      <c r="K205" s="6"/>
      <c r="L205" s="6"/>
    </row>
    <row r="206" spans="2:12" x14ac:dyDescent="0.35">
      <c r="B206" s="10"/>
      <c r="D206" s="3"/>
      <c r="F206" s="27"/>
      <c r="G206" s="6"/>
      <c r="H206" s="6"/>
      <c r="I206" s="6"/>
      <c r="J206" s="6"/>
      <c r="K206" s="6"/>
      <c r="L206" s="6"/>
    </row>
    <row r="207" spans="2:12" x14ac:dyDescent="0.35">
      <c r="D207" s="3"/>
      <c r="G207" s="6"/>
      <c r="H207" s="6"/>
      <c r="I207" s="6"/>
      <c r="J207" s="6"/>
      <c r="K207" s="6"/>
      <c r="L207" s="6"/>
    </row>
    <row r="208" spans="2:12" x14ac:dyDescent="0.35">
      <c r="B208" s="4"/>
      <c r="C208" s="5"/>
      <c r="D208" s="3"/>
      <c r="G208" s="6"/>
      <c r="H208" s="6"/>
      <c r="I208" s="6"/>
      <c r="J208" s="6"/>
      <c r="K208" s="6"/>
      <c r="L208" s="6"/>
    </row>
    <row r="209" spans="2:12" x14ac:dyDescent="0.35">
      <c r="B209" s="4"/>
      <c r="C209" s="68"/>
      <c r="D209" s="3"/>
      <c r="G209" s="6"/>
      <c r="H209" s="6"/>
      <c r="I209" s="6"/>
      <c r="J209" s="6"/>
      <c r="K209" s="6"/>
      <c r="L209" s="6"/>
    </row>
    <row r="210" spans="2:12" x14ac:dyDescent="0.35">
      <c r="B210" s="4"/>
      <c r="C210" s="14"/>
      <c r="D210" s="3"/>
      <c r="G210" s="6"/>
      <c r="H210" s="6"/>
      <c r="I210" s="6"/>
      <c r="J210" s="6"/>
      <c r="K210" s="6"/>
      <c r="L210" s="6"/>
    </row>
    <row r="211" spans="2:12" x14ac:dyDescent="0.35">
      <c r="B211" s="26"/>
      <c r="C211" s="27"/>
      <c r="D211" s="8"/>
      <c r="G211" s="6"/>
      <c r="H211" s="6"/>
      <c r="I211" s="6"/>
      <c r="J211" s="6"/>
      <c r="K211" s="6"/>
      <c r="L211" s="6"/>
    </row>
    <row r="212" spans="2:12" x14ac:dyDescent="0.35">
      <c r="B212" s="26"/>
      <c r="C212" s="2"/>
      <c r="D212" s="8"/>
      <c r="G212" s="6"/>
      <c r="H212" s="6"/>
      <c r="I212" s="6"/>
      <c r="J212" s="6"/>
      <c r="K212" s="6"/>
      <c r="L212" s="6"/>
    </row>
    <row r="213" spans="2:12" x14ac:dyDescent="0.35">
      <c r="B213" s="26"/>
      <c r="C213" s="43"/>
      <c r="D213" s="8"/>
      <c r="G213" s="6"/>
      <c r="H213" s="6"/>
      <c r="I213" s="6"/>
      <c r="J213" s="6"/>
      <c r="K213" s="6"/>
      <c r="L213" s="6"/>
    </row>
    <row r="214" spans="2:12" x14ac:dyDescent="0.35">
      <c r="B214" s="26"/>
      <c r="C214" s="44"/>
      <c r="D214" s="3"/>
      <c r="G214" s="6"/>
      <c r="H214" s="6"/>
      <c r="I214" s="6"/>
      <c r="J214" s="6"/>
      <c r="K214" s="6"/>
      <c r="L214" s="6"/>
    </row>
    <row r="215" spans="2:12" x14ac:dyDescent="0.35">
      <c r="B215" s="26"/>
      <c r="C215" s="69"/>
      <c r="D215" s="8"/>
      <c r="G215" s="6"/>
      <c r="H215" s="6"/>
      <c r="I215" s="6"/>
      <c r="J215" s="6"/>
      <c r="K215" s="6"/>
      <c r="L215" s="6"/>
    </row>
    <row r="216" spans="2:12" x14ac:dyDescent="0.35">
      <c r="G216" s="6"/>
      <c r="H216" s="6"/>
      <c r="I216" s="6"/>
      <c r="J216" s="6"/>
      <c r="K216" s="6"/>
      <c r="L216" s="6"/>
    </row>
    <row r="217" spans="2:12" x14ac:dyDescent="0.35">
      <c r="G217" s="6"/>
      <c r="H217" s="6"/>
      <c r="I217" s="6"/>
      <c r="J217" s="6"/>
      <c r="K217" s="6"/>
      <c r="L217" s="6"/>
    </row>
    <row r="218" spans="2:12" x14ac:dyDescent="0.35">
      <c r="B218" s="34" t="s">
        <v>357</v>
      </c>
      <c r="G218" s="6"/>
      <c r="H218" s="6"/>
      <c r="I218" s="6"/>
      <c r="J218" s="6"/>
      <c r="K218" s="6"/>
      <c r="L218" s="6"/>
    </row>
    <row r="219" spans="2:12" x14ac:dyDescent="0.35">
      <c r="H219" s="6"/>
      <c r="I219" s="6"/>
      <c r="J219" s="6"/>
      <c r="K219" s="6"/>
      <c r="L219" s="6"/>
    </row>
    <row r="220" spans="2:12" ht="16" thickBot="1" x14ac:dyDescent="0.4">
      <c r="B220" s="44" t="s">
        <v>97</v>
      </c>
      <c r="C220" s="14" t="s">
        <v>7</v>
      </c>
      <c r="G220" s="6"/>
      <c r="H220" s="6"/>
      <c r="I220" s="6"/>
      <c r="J220" s="6"/>
      <c r="K220" s="6"/>
      <c r="L220" s="6"/>
    </row>
    <row r="221" spans="2:12" x14ac:dyDescent="0.35">
      <c r="B221" s="4" t="s">
        <v>101</v>
      </c>
      <c r="C221" s="145">
        <v>13600</v>
      </c>
      <c r="D221" s="10" t="s">
        <v>21</v>
      </c>
      <c r="G221" s="6"/>
      <c r="H221" s="6"/>
      <c r="I221" s="6"/>
      <c r="J221" s="6"/>
      <c r="K221" s="6"/>
      <c r="L221" s="6"/>
    </row>
    <row r="222" spans="2:12" x14ac:dyDescent="0.35">
      <c r="B222" s="4" t="s">
        <v>46</v>
      </c>
      <c r="C222" s="146">
        <v>0.26624999999999999</v>
      </c>
      <c r="D222" s="10" t="s">
        <v>11</v>
      </c>
      <c r="G222" s="6"/>
      <c r="H222" s="6"/>
      <c r="I222" s="6"/>
      <c r="J222" s="6"/>
      <c r="K222" s="6"/>
      <c r="L222" s="6"/>
    </row>
    <row r="223" spans="2:12" x14ac:dyDescent="0.35">
      <c r="B223" s="4" t="s">
        <v>88</v>
      </c>
      <c r="C223" s="147">
        <v>4</v>
      </c>
      <c r="D223" s="10" t="s">
        <v>11</v>
      </c>
      <c r="G223" s="6"/>
      <c r="H223" s="6"/>
      <c r="I223" s="6"/>
      <c r="J223" s="6"/>
      <c r="K223" s="6"/>
      <c r="L223" s="6"/>
    </row>
    <row r="224" spans="2:12" ht="16" thickBot="1" x14ac:dyDescent="0.4">
      <c r="B224" s="4" t="s">
        <v>33</v>
      </c>
      <c r="C224" s="148">
        <v>67.5</v>
      </c>
      <c r="D224" s="10" t="s">
        <v>34</v>
      </c>
      <c r="G224" s="6"/>
      <c r="H224" s="6"/>
      <c r="I224" s="6"/>
      <c r="J224" s="6"/>
      <c r="K224" s="6"/>
      <c r="L224" s="6"/>
    </row>
    <row r="225" spans="1:12" x14ac:dyDescent="0.35">
      <c r="C225" s="14" t="s">
        <v>89</v>
      </c>
      <c r="G225" s="6"/>
      <c r="H225" s="6"/>
      <c r="I225" s="6"/>
      <c r="J225" s="6"/>
      <c r="K225" s="6"/>
      <c r="L225" s="6"/>
    </row>
    <row r="226" spans="1:12" x14ac:dyDescent="0.35">
      <c r="B226" s="4" t="s">
        <v>29</v>
      </c>
      <c r="C226" s="10" t="s">
        <v>48</v>
      </c>
      <c r="D226" s="3"/>
      <c r="F226" s="3" t="s">
        <v>22</v>
      </c>
      <c r="G226" s="6"/>
      <c r="H226" s="6"/>
      <c r="I226" s="6"/>
      <c r="J226" s="6"/>
      <c r="K226" s="6"/>
      <c r="L226" s="6"/>
    </row>
    <row r="227" spans="1:12" x14ac:dyDescent="0.35">
      <c r="B227" s="4" t="s">
        <v>30</v>
      </c>
      <c r="C227" s="70">
        <f>C222/(COS(C224/57.296)+SIN(C224/57.296))</f>
        <v>0.20377854506825044</v>
      </c>
      <c r="D227" s="10" t="s">
        <v>11</v>
      </c>
      <c r="G227" s="6"/>
      <c r="H227" s="6"/>
      <c r="I227" s="6"/>
      <c r="J227" s="6"/>
      <c r="K227" s="6"/>
      <c r="L227" s="6"/>
    </row>
    <row r="228" spans="1:12" x14ac:dyDescent="0.35">
      <c r="B228" s="4" t="s">
        <v>91</v>
      </c>
      <c r="C228" s="3" t="s">
        <v>96</v>
      </c>
      <c r="G228" s="6"/>
      <c r="H228" s="6"/>
      <c r="I228" s="6"/>
      <c r="J228" s="6"/>
      <c r="K228" s="6"/>
      <c r="L228" s="6"/>
    </row>
    <row r="229" spans="1:12" x14ac:dyDescent="0.35">
      <c r="B229" s="4" t="s">
        <v>91</v>
      </c>
      <c r="C229" s="71" t="s">
        <v>92</v>
      </c>
      <c r="E229" s="3"/>
      <c r="G229" s="6"/>
      <c r="H229" s="6"/>
      <c r="I229" s="6"/>
      <c r="J229" s="6"/>
      <c r="K229" s="6"/>
      <c r="L229" s="6"/>
    </row>
    <row r="230" spans="1:12" x14ac:dyDescent="0.35">
      <c r="B230" s="4" t="s">
        <v>69</v>
      </c>
      <c r="C230" s="10" t="s">
        <v>93</v>
      </c>
      <c r="G230" s="6"/>
      <c r="H230" s="6"/>
      <c r="I230" s="6"/>
      <c r="J230" s="6"/>
      <c r="K230" s="6"/>
      <c r="L230" s="6"/>
    </row>
    <row r="231" spans="1:12" x14ac:dyDescent="0.35">
      <c r="B231" s="26" t="s">
        <v>70</v>
      </c>
      <c r="C231" s="69">
        <f>C221 * C222 * C223 / 1.207</f>
        <v>12000</v>
      </c>
      <c r="D231" s="2" t="s">
        <v>90</v>
      </c>
      <c r="G231" s="6"/>
      <c r="H231" s="6"/>
      <c r="I231" s="6"/>
      <c r="J231" s="6"/>
      <c r="K231" s="6"/>
      <c r="L231" s="6"/>
    </row>
    <row r="232" spans="1:12" x14ac:dyDescent="0.35">
      <c r="G232" s="6"/>
      <c r="H232" s="6"/>
      <c r="I232" s="6"/>
      <c r="J232" s="6"/>
      <c r="K232" s="6"/>
      <c r="L232" s="6"/>
    </row>
    <row r="233" spans="1:12" x14ac:dyDescent="0.35">
      <c r="B233" s="2" t="s">
        <v>98</v>
      </c>
      <c r="G233" s="6"/>
      <c r="H233" s="6"/>
      <c r="I233" s="6"/>
      <c r="J233" s="6"/>
      <c r="K233" s="6"/>
      <c r="L233" s="6"/>
    </row>
    <row r="234" spans="1:12" x14ac:dyDescent="0.35">
      <c r="B234" s="10" t="s">
        <v>437</v>
      </c>
      <c r="G234" s="6"/>
      <c r="H234" s="6"/>
      <c r="I234" s="6"/>
      <c r="J234" s="6"/>
      <c r="K234" s="6"/>
      <c r="L234" s="6"/>
    </row>
    <row r="235" spans="1:12" x14ac:dyDescent="0.35">
      <c r="B235" s="10" t="s">
        <v>438</v>
      </c>
      <c r="E235" s="5" t="s">
        <v>22</v>
      </c>
      <c r="G235" s="6"/>
      <c r="H235" s="6"/>
      <c r="I235" s="6"/>
      <c r="J235" s="6"/>
      <c r="K235" s="6"/>
      <c r="L235" s="6"/>
    </row>
    <row r="236" spans="1:12" x14ac:dyDescent="0.35">
      <c r="A236" s="78"/>
      <c r="B236" s="143"/>
      <c r="C236" s="78"/>
      <c r="D236" s="138"/>
      <c r="G236" s="6"/>
      <c r="H236" s="6"/>
      <c r="I236" s="6"/>
      <c r="J236" s="6"/>
      <c r="K236" s="6"/>
      <c r="L236" s="6"/>
    </row>
    <row r="237" spans="1:12" x14ac:dyDescent="0.35">
      <c r="B237" s="2" t="s">
        <v>510</v>
      </c>
      <c r="C237" s="27"/>
      <c r="D237" s="2"/>
      <c r="G237" s="6"/>
      <c r="H237" s="6"/>
      <c r="I237" s="6"/>
      <c r="J237" s="6"/>
      <c r="K237" s="6"/>
      <c r="L237" s="6"/>
    </row>
    <row r="238" spans="1:12" x14ac:dyDescent="0.35">
      <c r="G238" s="6"/>
      <c r="H238" s="6"/>
      <c r="I238" s="6"/>
      <c r="J238" s="6"/>
      <c r="K238" s="6"/>
      <c r="L238" s="6"/>
    </row>
    <row r="239" spans="1:12" x14ac:dyDescent="0.35">
      <c r="B239" s="72" t="s">
        <v>85</v>
      </c>
      <c r="G239" s="6"/>
      <c r="H239" s="6"/>
      <c r="I239" s="6"/>
      <c r="J239" s="6"/>
      <c r="K239" s="6"/>
      <c r="L239" s="6"/>
    </row>
    <row r="240" spans="1:12" x14ac:dyDescent="0.35">
      <c r="B240" s="8" t="s">
        <v>370</v>
      </c>
      <c r="G240" s="75"/>
      <c r="H240" s="6"/>
      <c r="I240" s="6"/>
      <c r="J240" s="6"/>
      <c r="K240" s="6"/>
      <c r="L240" s="6"/>
    </row>
    <row r="241" spans="2:12" x14ac:dyDescent="0.35">
      <c r="B241" s="4" t="s">
        <v>40</v>
      </c>
      <c r="C241" s="3" t="s">
        <v>41</v>
      </c>
      <c r="G241" s="6"/>
      <c r="H241" s="6"/>
      <c r="I241" s="6"/>
      <c r="J241" s="6"/>
      <c r="K241" s="6"/>
      <c r="L241" s="6"/>
    </row>
    <row r="242" spans="2:12" x14ac:dyDescent="0.35">
      <c r="B242" s="4" t="s">
        <v>43</v>
      </c>
      <c r="C242" s="10" t="s">
        <v>42</v>
      </c>
      <c r="G242" s="6"/>
      <c r="H242" s="6"/>
      <c r="I242" s="6"/>
      <c r="J242" s="6"/>
      <c r="K242" s="6"/>
      <c r="L242" s="6"/>
    </row>
    <row r="243" spans="2:12" x14ac:dyDescent="0.35">
      <c r="B243" s="4" t="s">
        <v>39</v>
      </c>
      <c r="C243" s="3" t="s">
        <v>38</v>
      </c>
      <c r="G243" s="6"/>
      <c r="H243" s="6"/>
      <c r="I243" s="6"/>
      <c r="J243" s="6"/>
      <c r="K243" s="6"/>
      <c r="L243" s="6"/>
    </row>
    <row r="244" spans="2:12" x14ac:dyDescent="0.35">
      <c r="G244" s="6"/>
      <c r="H244" s="6"/>
      <c r="I244" s="6"/>
      <c r="J244" s="6"/>
      <c r="K244" s="6"/>
      <c r="L244" s="6"/>
    </row>
    <row r="245" spans="2:12" x14ac:dyDescent="0.35">
      <c r="B245" s="4" t="s">
        <v>36</v>
      </c>
      <c r="C245" s="3" t="s">
        <v>35</v>
      </c>
      <c r="G245" s="6"/>
      <c r="H245" s="6"/>
      <c r="I245" s="6"/>
      <c r="J245" s="6"/>
      <c r="K245" s="6"/>
      <c r="L245" s="6"/>
    </row>
    <row r="246" spans="2:12" x14ac:dyDescent="0.35">
      <c r="B246" s="4" t="s">
        <v>14</v>
      </c>
      <c r="C246" s="3" t="s">
        <v>44</v>
      </c>
      <c r="G246" s="6"/>
      <c r="H246" s="6"/>
      <c r="I246" s="6"/>
      <c r="J246" s="6"/>
      <c r="K246" s="6"/>
      <c r="L246" s="6"/>
    </row>
    <row r="247" spans="2:12" x14ac:dyDescent="0.35">
      <c r="B247" s="4" t="s">
        <v>14</v>
      </c>
      <c r="C247" s="3" t="s">
        <v>45</v>
      </c>
      <c r="G247" s="6"/>
      <c r="H247" s="6"/>
      <c r="I247" s="6"/>
      <c r="J247" s="6"/>
      <c r="K247" s="6"/>
      <c r="L247" s="6"/>
    </row>
    <row r="248" spans="2:12" x14ac:dyDescent="0.35">
      <c r="B248" s="4" t="s">
        <v>37</v>
      </c>
      <c r="C248" s="3" t="s">
        <v>55</v>
      </c>
      <c r="F248" s="27"/>
      <c r="G248" s="6"/>
      <c r="H248" s="6"/>
      <c r="I248" s="6"/>
      <c r="J248" s="6"/>
      <c r="K248" s="6"/>
      <c r="L248" s="6"/>
    </row>
    <row r="249" spans="2:12" x14ac:dyDescent="0.35">
      <c r="G249" s="6"/>
      <c r="H249" s="6"/>
      <c r="I249" s="6"/>
      <c r="J249" s="6"/>
      <c r="K249" s="6"/>
      <c r="L249" s="6"/>
    </row>
    <row r="250" spans="2:12" x14ac:dyDescent="0.35">
      <c r="B250" s="4" t="s">
        <v>29</v>
      </c>
      <c r="C250" s="3" t="s">
        <v>48</v>
      </c>
      <c r="G250" s="6"/>
      <c r="H250" s="6"/>
      <c r="I250" s="6"/>
      <c r="J250" s="6"/>
      <c r="K250" s="6"/>
      <c r="L250" s="6"/>
    </row>
    <row r="251" spans="2:12" x14ac:dyDescent="0.35">
      <c r="G251" s="6"/>
      <c r="H251" s="6"/>
      <c r="I251" s="6"/>
      <c r="J251" s="6"/>
      <c r="K251" s="6"/>
      <c r="L251" s="6"/>
    </row>
    <row r="252" spans="2:12" x14ac:dyDescent="0.35">
      <c r="B252" s="4" t="s">
        <v>102</v>
      </c>
      <c r="C252" s="3" t="s">
        <v>71</v>
      </c>
      <c r="G252" s="6"/>
      <c r="H252" s="6"/>
      <c r="I252" s="6"/>
      <c r="J252" s="6"/>
      <c r="K252" s="6"/>
      <c r="L252" s="6"/>
    </row>
    <row r="253" spans="2:12" x14ac:dyDescent="0.35">
      <c r="B253" s="4" t="s">
        <v>50</v>
      </c>
      <c r="C253" s="3" t="s">
        <v>72</v>
      </c>
      <c r="G253" s="6"/>
      <c r="H253" s="6"/>
      <c r="I253" s="6"/>
      <c r="J253" s="6"/>
      <c r="K253" s="6"/>
      <c r="L253" s="6"/>
    </row>
    <row r="254" spans="2:12" x14ac:dyDescent="0.35">
      <c r="G254" s="6"/>
      <c r="H254" s="6"/>
      <c r="I254" s="6"/>
      <c r="J254" s="6"/>
      <c r="K254" s="6"/>
      <c r="L254" s="6"/>
    </row>
    <row r="255" spans="2:12" x14ac:dyDescent="0.35">
      <c r="B255" s="4" t="s">
        <v>73</v>
      </c>
      <c r="C255" s="5">
        <v>0</v>
      </c>
      <c r="G255" s="6"/>
      <c r="H255" s="6"/>
      <c r="I255" s="6"/>
      <c r="J255" s="6"/>
      <c r="K255" s="6"/>
      <c r="L255" s="6"/>
    </row>
    <row r="256" spans="2:12" x14ac:dyDescent="0.35">
      <c r="B256" s="4" t="s">
        <v>74</v>
      </c>
      <c r="C256" s="3" t="s">
        <v>75</v>
      </c>
      <c r="G256" s="6"/>
      <c r="H256" s="6"/>
      <c r="I256" s="6"/>
      <c r="J256" s="6"/>
      <c r="K256" s="6"/>
      <c r="L256" s="6"/>
    </row>
    <row r="257" spans="2:12" x14ac:dyDescent="0.35">
      <c r="B257" s="4" t="s">
        <v>77</v>
      </c>
      <c r="C257" s="3" t="s">
        <v>76</v>
      </c>
      <c r="G257" s="6"/>
      <c r="H257" s="6"/>
      <c r="I257" s="6"/>
      <c r="J257" s="6"/>
      <c r="K257" s="6"/>
      <c r="L257" s="6"/>
    </row>
    <row r="258" spans="2:12" x14ac:dyDescent="0.35">
      <c r="B258" s="4" t="s">
        <v>78</v>
      </c>
      <c r="C258" s="3" t="s">
        <v>79</v>
      </c>
      <c r="G258" s="6"/>
      <c r="H258" s="6"/>
      <c r="I258" s="6"/>
      <c r="J258" s="6"/>
      <c r="K258" s="6"/>
      <c r="L258" s="6"/>
    </row>
    <row r="259" spans="2:12" x14ac:dyDescent="0.35">
      <c r="B259" s="4" t="s">
        <v>80</v>
      </c>
      <c r="C259" s="79" t="s">
        <v>81</v>
      </c>
      <c r="G259" s="6"/>
      <c r="H259" s="6"/>
      <c r="I259" s="6"/>
      <c r="J259" s="6"/>
      <c r="K259" s="6"/>
      <c r="L259" s="6"/>
    </row>
    <row r="260" spans="2:12" x14ac:dyDescent="0.35">
      <c r="B260" s="4" t="s">
        <v>82</v>
      </c>
      <c r="C260" s="10">
        <v>-1</v>
      </c>
      <c r="G260" s="6"/>
      <c r="H260" s="6"/>
      <c r="I260" s="6"/>
      <c r="J260" s="6"/>
      <c r="K260" s="6"/>
      <c r="L260" s="6"/>
    </row>
    <row r="261" spans="2:12" x14ac:dyDescent="0.35">
      <c r="B261" s="4" t="s">
        <v>83</v>
      </c>
      <c r="C261" s="3" t="s">
        <v>84</v>
      </c>
      <c r="G261" s="6"/>
      <c r="H261" s="6"/>
      <c r="I261" s="6"/>
      <c r="J261" s="6"/>
      <c r="K261" s="6"/>
      <c r="L261" s="6"/>
    </row>
    <row r="262" spans="2:12" x14ac:dyDescent="0.35">
      <c r="B262" s="26" t="s">
        <v>235</v>
      </c>
      <c r="C262" s="8" t="s">
        <v>336</v>
      </c>
      <c r="D262" s="10" t="s">
        <v>337</v>
      </c>
      <c r="G262" s="6"/>
      <c r="H262" s="6"/>
      <c r="I262" s="6"/>
      <c r="J262" s="6"/>
      <c r="K262" s="6"/>
      <c r="L262" s="6"/>
    </row>
    <row r="263" spans="2:12" x14ac:dyDescent="0.35">
      <c r="G263" s="6"/>
      <c r="H263" s="6"/>
      <c r="I263" s="6"/>
      <c r="J263" s="6"/>
      <c r="K263" s="6"/>
      <c r="L263" s="6"/>
    </row>
    <row r="264" spans="2:12" x14ac:dyDescent="0.35">
      <c r="B264" s="137"/>
      <c r="C264" s="76"/>
      <c r="D264" s="77"/>
      <c r="G264" s="6"/>
      <c r="H264" s="6"/>
      <c r="I264" s="6"/>
      <c r="J264" s="6"/>
      <c r="K264" s="6"/>
      <c r="L264" s="6"/>
    </row>
    <row r="265" spans="2:12" x14ac:dyDescent="0.35">
      <c r="F265" s="27"/>
      <c r="G265" s="6"/>
      <c r="H265" s="6"/>
      <c r="I265" s="6"/>
      <c r="J265" s="6"/>
      <c r="K265" s="6"/>
      <c r="L265" s="6"/>
    </row>
    <row r="266" spans="2:12" x14ac:dyDescent="0.35">
      <c r="C266" s="3" t="s">
        <v>515</v>
      </c>
      <c r="G266" s="6"/>
      <c r="H266" s="6"/>
      <c r="I266" s="6"/>
      <c r="J266" s="6"/>
      <c r="K266" s="6"/>
      <c r="L266" s="6"/>
    </row>
    <row r="267" spans="2:12" x14ac:dyDescent="0.35">
      <c r="G267" s="6"/>
      <c r="H267" s="6"/>
      <c r="I267" s="6"/>
      <c r="J267" s="6"/>
      <c r="K267" s="6"/>
      <c r="L267" s="6"/>
    </row>
    <row r="268" spans="2:12" x14ac:dyDescent="0.35">
      <c r="G268" s="6"/>
      <c r="H268" s="6"/>
      <c r="I268" s="6"/>
      <c r="J268" s="6"/>
      <c r="K268" s="6"/>
      <c r="L268" s="6"/>
    </row>
    <row r="269" spans="2:12" x14ac:dyDescent="0.35">
      <c r="G269" s="6"/>
      <c r="H269" s="6"/>
      <c r="I269" s="6"/>
      <c r="J269" s="6"/>
      <c r="K269" s="6"/>
      <c r="L269" s="6"/>
    </row>
    <row r="270" spans="2:12" x14ac:dyDescent="0.35">
      <c r="G270" s="6"/>
      <c r="H270" s="6"/>
      <c r="I270" s="6"/>
      <c r="J270" s="6"/>
      <c r="K270" s="6"/>
      <c r="L270" s="6"/>
    </row>
    <row r="271" spans="2:12" x14ac:dyDescent="0.35">
      <c r="G271" s="6"/>
      <c r="H271" s="6"/>
      <c r="I271" s="6"/>
      <c r="J271" s="6"/>
      <c r="K271" s="6"/>
      <c r="L271" s="6"/>
    </row>
    <row r="272" spans="2:12" x14ac:dyDescent="0.35">
      <c r="G272" s="6"/>
      <c r="H272" s="6"/>
      <c r="I272" s="6"/>
      <c r="J272" s="6"/>
      <c r="K272" s="6"/>
      <c r="L272" s="6"/>
    </row>
    <row r="273" spans="2:12" x14ac:dyDescent="0.35">
      <c r="G273" s="6"/>
      <c r="H273" s="6"/>
      <c r="I273" s="6"/>
      <c r="J273" s="6"/>
      <c r="K273" s="6"/>
      <c r="L273" s="6"/>
    </row>
    <row r="274" spans="2:12" x14ac:dyDescent="0.35">
      <c r="G274" s="6"/>
      <c r="H274" s="6"/>
      <c r="I274" s="6"/>
      <c r="J274" s="6"/>
      <c r="K274" s="6"/>
      <c r="L274" s="6"/>
    </row>
    <row r="275" spans="2:12" x14ac:dyDescent="0.35">
      <c r="G275" s="6"/>
      <c r="H275" s="6"/>
      <c r="I275" s="6"/>
      <c r="J275" s="6"/>
      <c r="K275" s="6"/>
      <c r="L275" s="6"/>
    </row>
    <row r="276" spans="2:12" x14ac:dyDescent="0.35">
      <c r="G276" s="6"/>
      <c r="H276" s="6"/>
      <c r="I276" s="6"/>
      <c r="J276" s="6"/>
      <c r="K276" s="6"/>
      <c r="L276" s="6"/>
    </row>
    <row r="277" spans="2:12" x14ac:dyDescent="0.35">
      <c r="G277" s="6"/>
      <c r="H277" s="6"/>
      <c r="I277" s="6"/>
      <c r="J277" s="6"/>
      <c r="K277" s="6"/>
      <c r="L277" s="6"/>
    </row>
    <row r="278" spans="2:12" x14ac:dyDescent="0.35">
      <c r="G278" s="6"/>
      <c r="H278" s="6"/>
      <c r="I278" s="6"/>
      <c r="J278" s="6"/>
      <c r="K278" s="6"/>
      <c r="L278" s="6"/>
    </row>
    <row r="279" spans="2:12" x14ac:dyDescent="0.35">
      <c r="G279" s="6"/>
      <c r="H279" s="6"/>
      <c r="I279" s="6"/>
      <c r="J279" s="6"/>
      <c r="K279" s="6"/>
      <c r="L279" s="6"/>
    </row>
    <row r="280" spans="2:12" x14ac:dyDescent="0.35">
      <c r="G280" s="6"/>
      <c r="H280" s="6"/>
      <c r="I280" s="6"/>
      <c r="J280" s="6"/>
      <c r="K280" s="6"/>
      <c r="L280" s="6"/>
    </row>
    <row r="281" spans="2:12" x14ac:dyDescent="0.35">
      <c r="G281" s="6"/>
      <c r="H281" s="6"/>
      <c r="I281" s="6"/>
      <c r="J281" s="6"/>
      <c r="K281" s="6"/>
      <c r="L281" s="6"/>
    </row>
    <row r="282" spans="2:12" x14ac:dyDescent="0.35">
      <c r="G282" s="6"/>
      <c r="H282" s="6"/>
      <c r="I282" s="6"/>
      <c r="J282" s="6"/>
      <c r="K282" s="6"/>
      <c r="L282" s="6"/>
    </row>
    <row r="283" spans="2:12" x14ac:dyDescent="0.35">
      <c r="G283" s="6"/>
      <c r="H283" s="6"/>
      <c r="I283" s="6"/>
      <c r="J283" s="6"/>
      <c r="K283" s="6"/>
      <c r="L283" s="6"/>
    </row>
    <row r="284" spans="2:12" x14ac:dyDescent="0.35">
      <c r="G284" s="6"/>
      <c r="H284" s="6"/>
      <c r="I284" s="6"/>
      <c r="J284" s="6"/>
      <c r="K284" s="6"/>
      <c r="L284" s="6"/>
    </row>
    <row r="285" spans="2:12" x14ac:dyDescent="0.35">
      <c r="G285" s="6"/>
      <c r="H285" s="6"/>
      <c r="I285" s="6"/>
      <c r="J285" s="6"/>
      <c r="K285" s="6"/>
      <c r="L285" s="6"/>
    </row>
    <row r="286" spans="2:12" x14ac:dyDescent="0.35">
      <c r="G286" s="6"/>
      <c r="H286" s="6"/>
      <c r="I286" s="6"/>
      <c r="J286" s="6"/>
      <c r="K286" s="6"/>
      <c r="L286" s="6"/>
    </row>
    <row r="287" spans="2:12" x14ac:dyDescent="0.35">
      <c r="B287" s="78"/>
      <c r="C287" s="38"/>
      <c r="D287" s="77"/>
      <c r="G287" s="6"/>
      <c r="H287" s="6"/>
      <c r="I287" s="6"/>
      <c r="J287" s="6"/>
      <c r="K287" s="6"/>
      <c r="L287" s="6"/>
    </row>
    <row r="288" spans="2:12" x14ac:dyDescent="0.35">
      <c r="B288" s="138"/>
      <c r="C288" s="38"/>
      <c r="D288" s="77"/>
      <c r="G288" s="6"/>
      <c r="H288" s="6"/>
      <c r="I288" s="6"/>
      <c r="J288" s="6"/>
      <c r="K288" s="6"/>
      <c r="L288" s="6"/>
    </row>
    <row r="289" spans="2:12" x14ac:dyDescent="0.35">
      <c r="B289" s="138"/>
      <c r="C289" s="38"/>
      <c r="D289" s="77"/>
      <c r="G289" s="6"/>
      <c r="H289" s="6"/>
      <c r="I289" s="6"/>
      <c r="J289" s="6"/>
      <c r="K289" s="6"/>
      <c r="L289" s="6"/>
    </row>
    <row r="290" spans="2:12" x14ac:dyDescent="0.35">
      <c r="B290" s="138"/>
      <c r="C290" s="139"/>
      <c r="D290" s="138"/>
      <c r="G290" s="6"/>
      <c r="H290" s="6"/>
      <c r="I290" s="6"/>
      <c r="J290" s="6"/>
      <c r="K290" s="6"/>
      <c r="L290" s="6"/>
    </row>
    <row r="291" spans="2:12" x14ac:dyDescent="0.35">
      <c r="B291" s="138"/>
      <c r="C291" s="42"/>
      <c r="D291" s="138"/>
      <c r="G291" s="6"/>
      <c r="H291" s="6"/>
      <c r="I291" s="6"/>
      <c r="J291" s="6"/>
      <c r="K291" s="6"/>
      <c r="L291" s="6"/>
    </row>
    <row r="292" spans="2:12" x14ac:dyDescent="0.35">
      <c r="B292" s="78"/>
      <c r="C292" s="76"/>
      <c r="D292" s="138"/>
      <c r="G292" s="6"/>
      <c r="H292" s="6"/>
      <c r="I292" s="6"/>
      <c r="J292" s="6"/>
      <c r="K292" s="6"/>
      <c r="L292" s="6"/>
    </row>
    <row r="293" spans="2:12" x14ac:dyDescent="0.35">
      <c r="G293" s="6"/>
      <c r="H293" s="6"/>
      <c r="I293" s="6"/>
      <c r="J293" s="6"/>
      <c r="K293" s="6"/>
      <c r="L293" s="6"/>
    </row>
    <row r="294" spans="2:12" x14ac:dyDescent="0.35">
      <c r="G294" s="6"/>
      <c r="H294" s="6"/>
      <c r="I294" s="6"/>
      <c r="J294" s="6"/>
      <c r="K294" s="6"/>
      <c r="L294" s="6"/>
    </row>
    <row r="295" spans="2:12" x14ac:dyDescent="0.35">
      <c r="G295" s="6"/>
      <c r="H295" s="6"/>
      <c r="I295" s="6"/>
      <c r="J295" s="6"/>
      <c r="K295" s="6"/>
      <c r="L295" s="6"/>
    </row>
    <row r="296" spans="2:12" x14ac:dyDescent="0.35">
      <c r="G296" s="6"/>
      <c r="H296" s="6"/>
      <c r="I296" s="6"/>
      <c r="J296" s="6"/>
      <c r="K296" s="6"/>
      <c r="L296" s="6"/>
    </row>
    <row r="297" spans="2:12" x14ac:dyDescent="0.35">
      <c r="G297" s="6"/>
      <c r="H297" s="6"/>
      <c r="I297" s="6"/>
      <c r="J297" s="6"/>
      <c r="K297" s="6"/>
      <c r="L297" s="6"/>
    </row>
    <row r="298" spans="2:12" x14ac:dyDescent="0.35">
      <c r="G298" s="6"/>
      <c r="H298" s="6"/>
      <c r="I298" s="6"/>
      <c r="J298" s="6"/>
      <c r="K298" s="6"/>
      <c r="L298" s="6"/>
    </row>
    <row r="299" spans="2:12" x14ac:dyDescent="0.35">
      <c r="G299" s="6"/>
      <c r="H299" s="6"/>
      <c r="I299" s="6"/>
      <c r="J299" s="6"/>
      <c r="K299" s="6"/>
      <c r="L299" s="6"/>
    </row>
    <row r="300" spans="2:12" x14ac:dyDescent="0.35">
      <c r="G300" s="6"/>
      <c r="H300" s="6"/>
      <c r="I300" s="6"/>
      <c r="J300" s="6"/>
      <c r="K300" s="6"/>
      <c r="L300" s="6"/>
    </row>
    <row r="301" spans="2:12" x14ac:dyDescent="0.35">
      <c r="G301" s="6"/>
      <c r="H301" s="6"/>
      <c r="I301" s="6"/>
      <c r="J301" s="6"/>
      <c r="K301" s="6"/>
      <c r="L301" s="6"/>
    </row>
    <row r="302" spans="2:12" x14ac:dyDescent="0.35">
      <c r="G302" s="6"/>
      <c r="H302" s="6"/>
      <c r="I302" s="6"/>
      <c r="J302" s="6"/>
      <c r="K302" s="6"/>
      <c r="L302" s="6"/>
    </row>
    <row r="303" spans="2:12" x14ac:dyDescent="0.35">
      <c r="G303" s="6"/>
      <c r="H303" s="6"/>
      <c r="I303" s="6"/>
      <c r="J303" s="6"/>
      <c r="K303" s="6"/>
      <c r="L303" s="6"/>
    </row>
    <row r="304" spans="2:12" x14ac:dyDescent="0.35">
      <c r="G304" s="6"/>
      <c r="H304" s="6"/>
      <c r="I304" s="6"/>
      <c r="J304" s="6"/>
      <c r="K304" s="6"/>
      <c r="L304" s="6"/>
    </row>
    <row r="305" spans="2:12" x14ac:dyDescent="0.35">
      <c r="G305" s="6"/>
      <c r="H305" s="6"/>
      <c r="I305" s="6"/>
      <c r="J305" s="6"/>
      <c r="K305" s="6"/>
      <c r="L305" s="6"/>
    </row>
    <row r="306" spans="2:12" x14ac:dyDescent="0.35">
      <c r="G306" s="6"/>
      <c r="H306" s="6"/>
      <c r="I306" s="6"/>
      <c r="J306" s="6"/>
      <c r="K306" s="6"/>
      <c r="L306" s="6"/>
    </row>
    <row r="307" spans="2:12" x14ac:dyDescent="0.35">
      <c r="G307" s="6"/>
      <c r="H307" s="6"/>
      <c r="I307" s="6"/>
      <c r="J307" s="6"/>
      <c r="K307" s="6"/>
      <c r="L307" s="6"/>
    </row>
    <row r="308" spans="2:12" x14ac:dyDescent="0.35">
      <c r="G308" s="6"/>
      <c r="H308" s="6"/>
      <c r="I308" s="6"/>
      <c r="J308" s="6"/>
      <c r="K308" s="6"/>
      <c r="L308" s="6"/>
    </row>
    <row r="309" spans="2:12" x14ac:dyDescent="0.35">
      <c r="G309" s="6"/>
      <c r="H309" s="6"/>
      <c r="I309" s="6"/>
      <c r="J309" s="6"/>
      <c r="K309" s="6"/>
      <c r="L309" s="6"/>
    </row>
    <row r="310" spans="2:12" x14ac:dyDescent="0.35">
      <c r="G310" s="6"/>
      <c r="H310" s="6"/>
      <c r="I310" s="6"/>
      <c r="J310" s="6"/>
      <c r="K310" s="6"/>
      <c r="L310" s="6"/>
    </row>
    <row r="311" spans="2:12" x14ac:dyDescent="0.35">
      <c r="G311" s="6"/>
      <c r="H311" s="6"/>
      <c r="I311" s="6"/>
      <c r="J311" s="6"/>
      <c r="K311" s="6"/>
      <c r="L311" s="6"/>
    </row>
    <row r="312" spans="2:12" x14ac:dyDescent="0.35">
      <c r="G312" s="6"/>
      <c r="H312" s="6"/>
      <c r="I312" s="6"/>
      <c r="J312" s="6"/>
      <c r="K312" s="6"/>
      <c r="L312" s="6"/>
    </row>
    <row r="313" spans="2:12" x14ac:dyDescent="0.35">
      <c r="G313" s="6"/>
      <c r="H313" s="6"/>
      <c r="I313" s="6"/>
      <c r="J313" s="6"/>
      <c r="K313" s="6"/>
      <c r="L313" s="6"/>
    </row>
    <row r="314" spans="2:12" x14ac:dyDescent="0.35">
      <c r="B314" s="138"/>
      <c r="C314" s="39"/>
      <c r="D314" s="77"/>
      <c r="G314" s="6"/>
      <c r="H314" s="6"/>
      <c r="I314" s="6"/>
      <c r="J314" s="6"/>
      <c r="K314" s="6"/>
      <c r="L314" s="6"/>
    </row>
    <row r="315" spans="2:12" x14ac:dyDescent="0.35">
      <c r="B315" s="138"/>
      <c r="C315" s="74"/>
      <c r="D315" s="77"/>
      <c r="G315" s="6"/>
      <c r="H315" s="6"/>
      <c r="I315" s="6"/>
      <c r="J315" s="6"/>
      <c r="K315" s="6"/>
      <c r="L315" s="6"/>
    </row>
    <row r="316" spans="2:12" x14ac:dyDescent="0.35">
      <c r="B316" s="140"/>
      <c r="C316" s="137"/>
      <c r="D316" s="137"/>
      <c r="E316" s="27"/>
      <c r="G316" s="6"/>
      <c r="H316" s="6"/>
      <c r="I316" s="6"/>
      <c r="J316" s="6"/>
      <c r="K316" s="6"/>
      <c r="L316" s="6"/>
    </row>
    <row r="317" spans="2:12" x14ac:dyDescent="0.35">
      <c r="B317" s="140"/>
      <c r="C317" s="141"/>
      <c r="D317" s="137"/>
      <c r="G317" s="6"/>
      <c r="H317" s="6"/>
      <c r="I317" s="6"/>
      <c r="J317" s="6"/>
      <c r="K317" s="6"/>
      <c r="L317" s="6"/>
    </row>
    <row r="318" spans="2:12" x14ac:dyDescent="0.35">
      <c r="B318" s="137"/>
      <c r="C318" s="39"/>
      <c r="D318" s="77"/>
      <c r="G318" s="6"/>
      <c r="H318" s="6"/>
      <c r="I318" s="6"/>
      <c r="J318" s="6"/>
      <c r="K318" s="6"/>
      <c r="L318" s="6"/>
    </row>
    <row r="319" spans="2:12" x14ac:dyDescent="0.35">
      <c r="B319" s="77"/>
      <c r="C319" s="39"/>
      <c r="D319" s="77"/>
      <c r="F319" s="27"/>
      <c r="G319" s="6"/>
      <c r="H319" s="6"/>
      <c r="I319" s="6"/>
      <c r="J319" s="6"/>
      <c r="K319" s="6"/>
      <c r="L319" s="6"/>
    </row>
    <row r="320" spans="2:12" x14ac:dyDescent="0.35">
      <c r="B320" s="78"/>
      <c r="C320" s="78"/>
      <c r="D320" s="138"/>
      <c r="G320" s="6"/>
      <c r="H320" s="6"/>
      <c r="I320" s="6"/>
      <c r="J320" s="6"/>
      <c r="K320" s="6"/>
      <c r="L320" s="6"/>
    </row>
    <row r="321" spans="7:12" x14ac:dyDescent="0.35">
      <c r="G321" s="6"/>
      <c r="H321" s="6"/>
      <c r="I321" s="6"/>
      <c r="J321" s="6"/>
      <c r="K321" s="6"/>
      <c r="L321" s="6"/>
    </row>
    <row r="322" spans="7:12" x14ac:dyDescent="0.35">
      <c r="G322" s="6"/>
      <c r="H322" s="6"/>
      <c r="I322" s="6"/>
      <c r="J322" s="6"/>
      <c r="K322" s="6"/>
      <c r="L322" s="6"/>
    </row>
    <row r="323" spans="7:12" x14ac:dyDescent="0.35">
      <c r="G323" s="6"/>
      <c r="H323" s="6"/>
      <c r="I323" s="6"/>
      <c r="J323" s="6"/>
      <c r="K323" s="6"/>
      <c r="L323" s="6"/>
    </row>
    <row r="324" spans="7:12" x14ac:dyDescent="0.35">
      <c r="G324" s="6"/>
      <c r="H324" s="6"/>
      <c r="I324" s="6"/>
      <c r="J324" s="6"/>
      <c r="K324" s="6"/>
      <c r="L324" s="6"/>
    </row>
    <row r="325" spans="7:12" x14ac:dyDescent="0.35">
      <c r="G325" s="6"/>
      <c r="H325" s="6"/>
      <c r="I325" s="6"/>
      <c r="J325" s="6"/>
      <c r="K325" s="6"/>
      <c r="L325" s="6"/>
    </row>
    <row r="326" spans="7:12" x14ac:dyDescent="0.35">
      <c r="G326" s="6"/>
      <c r="H326" s="6"/>
      <c r="I326" s="6"/>
      <c r="J326" s="6"/>
      <c r="K326" s="6"/>
      <c r="L326" s="6"/>
    </row>
    <row r="327" spans="7:12" x14ac:dyDescent="0.35">
      <c r="G327" s="6"/>
      <c r="H327" s="6"/>
      <c r="I327" s="6"/>
      <c r="J327" s="6"/>
      <c r="K327" s="6"/>
      <c r="L327" s="6"/>
    </row>
    <row r="328" spans="7:12" x14ac:dyDescent="0.35">
      <c r="G328" s="6"/>
      <c r="H328" s="6"/>
      <c r="I328" s="6"/>
      <c r="J328" s="6"/>
      <c r="K328" s="6"/>
      <c r="L328" s="6"/>
    </row>
    <row r="329" spans="7:12" x14ac:dyDescent="0.35">
      <c r="G329" s="6"/>
      <c r="H329" s="6"/>
      <c r="I329" s="6"/>
      <c r="J329" s="6"/>
      <c r="K329" s="6"/>
      <c r="L329" s="6"/>
    </row>
    <row r="330" spans="7:12" x14ac:dyDescent="0.35">
      <c r="I330" s="6"/>
      <c r="J330" s="6"/>
      <c r="K330" s="6"/>
      <c r="L330" s="6"/>
    </row>
    <row r="331" spans="7:12" x14ac:dyDescent="0.35">
      <c r="I331" s="6"/>
      <c r="J331" s="6"/>
      <c r="K331" s="6"/>
      <c r="L331" s="6"/>
    </row>
    <row r="332" spans="7:12" x14ac:dyDescent="0.35">
      <c r="I332" s="6"/>
      <c r="J332" s="6"/>
      <c r="K332" s="6"/>
      <c r="L332" s="6"/>
    </row>
    <row r="333" spans="7:12" x14ac:dyDescent="0.35">
      <c r="I333" s="6"/>
      <c r="J333" s="6"/>
      <c r="K333" s="6"/>
      <c r="L333" s="6"/>
    </row>
    <row r="334" spans="7:12" x14ac:dyDescent="0.35">
      <c r="I334" s="6"/>
      <c r="J334" s="6"/>
      <c r="K334" s="6"/>
      <c r="L334" s="6"/>
    </row>
    <row r="335" spans="7:12" x14ac:dyDescent="0.35">
      <c r="I335" s="6"/>
      <c r="J335" s="6"/>
      <c r="K335" s="6"/>
      <c r="L335" s="6"/>
    </row>
    <row r="336" spans="7:12" x14ac:dyDescent="0.35">
      <c r="I336" s="6"/>
      <c r="J336" s="6"/>
      <c r="K336" s="6"/>
      <c r="L336" s="6"/>
    </row>
    <row r="337" spans="9:12" x14ac:dyDescent="0.35">
      <c r="I337" s="6"/>
      <c r="J337" s="6"/>
      <c r="K337" s="6"/>
      <c r="L337" s="6"/>
    </row>
    <row r="338" spans="9:12" x14ac:dyDescent="0.35">
      <c r="I338" s="6"/>
      <c r="J338" s="6"/>
      <c r="K338" s="6"/>
      <c r="L338" s="6"/>
    </row>
    <row r="339" spans="9:12" x14ac:dyDescent="0.35">
      <c r="I339" s="6"/>
      <c r="J339" s="6"/>
      <c r="K339" s="6"/>
      <c r="L339" s="6"/>
    </row>
    <row r="340" spans="9:12" x14ac:dyDescent="0.35">
      <c r="I340" s="6"/>
      <c r="J340" s="6"/>
      <c r="K340" s="6"/>
      <c r="L340" s="6"/>
    </row>
    <row r="341" spans="9:12" x14ac:dyDescent="0.35">
      <c r="I341" s="6"/>
      <c r="J341" s="6"/>
      <c r="K341" s="6"/>
      <c r="L341" s="6"/>
    </row>
    <row r="342" spans="9:12" x14ac:dyDescent="0.35">
      <c r="I342" s="6"/>
      <c r="J342" s="6"/>
      <c r="K342" s="6"/>
      <c r="L342" s="6"/>
    </row>
    <row r="343" spans="9:12" x14ac:dyDescent="0.35">
      <c r="I343" s="6"/>
      <c r="J343" s="6"/>
      <c r="K343" s="6"/>
      <c r="L343" s="6"/>
    </row>
    <row r="344" spans="9:12" x14ac:dyDescent="0.35">
      <c r="I344" s="6"/>
      <c r="J344" s="6"/>
      <c r="K344" s="6"/>
      <c r="L344" s="6"/>
    </row>
    <row r="345" spans="9:12" x14ac:dyDescent="0.35">
      <c r="I345" s="6"/>
      <c r="J345" s="6"/>
      <c r="K345" s="6"/>
      <c r="L345" s="6"/>
    </row>
    <row r="346" spans="9:12" x14ac:dyDescent="0.35">
      <c r="I346" s="6"/>
      <c r="J346" s="6"/>
      <c r="K346" s="6"/>
      <c r="L346" s="6"/>
    </row>
    <row r="347" spans="9:12" x14ac:dyDescent="0.35">
      <c r="I347" s="6"/>
      <c r="J347" s="6"/>
      <c r="K347" s="6"/>
      <c r="L347" s="6"/>
    </row>
    <row r="348" spans="9:12" x14ac:dyDescent="0.35">
      <c r="I348" s="6"/>
      <c r="J348" s="6"/>
      <c r="K348" s="6"/>
      <c r="L348" s="6"/>
    </row>
    <row r="349" spans="9:12" x14ac:dyDescent="0.35">
      <c r="I349" s="6"/>
      <c r="J349" s="6"/>
      <c r="K349" s="6"/>
      <c r="L349" s="6"/>
    </row>
    <row r="350" spans="9:12" x14ac:dyDescent="0.35">
      <c r="I350" s="6"/>
      <c r="J350" s="6"/>
      <c r="K350" s="6"/>
      <c r="L350" s="6"/>
    </row>
    <row r="351" spans="9:12" x14ac:dyDescent="0.35">
      <c r="I351" s="6"/>
      <c r="J351" s="6"/>
      <c r="K351" s="6"/>
      <c r="L351" s="6"/>
    </row>
    <row r="352" spans="9:12" x14ac:dyDescent="0.35">
      <c r="I352" s="6"/>
      <c r="J352" s="6"/>
      <c r="K352" s="6"/>
      <c r="L352" s="6"/>
    </row>
    <row r="353" spans="9:12" x14ac:dyDescent="0.35">
      <c r="I353" s="6"/>
      <c r="J353" s="6"/>
      <c r="K353" s="6"/>
      <c r="L353" s="6"/>
    </row>
    <row r="354" spans="9:12" x14ac:dyDescent="0.35">
      <c r="I354" s="6"/>
      <c r="J354" s="6"/>
      <c r="K354" s="6"/>
      <c r="L354" s="6"/>
    </row>
    <row r="355" spans="9:12" x14ac:dyDescent="0.35">
      <c r="I355" s="6"/>
      <c r="J355" s="6"/>
      <c r="K355" s="6"/>
      <c r="L355" s="6"/>
    </row>
    <row r="356" spans="9:12" x14ac:dyDescent="0.35">
      <c r="I356" s="6"/>
      <c r="J356" s="6"/>
      <c r="K356" s="6"/>
      <c r="L356" s="6"/>
    </row>
    <row r="357" spans="9:12" x14ac:dyDescent="0.35">
      <c r="I357" s="6"/>
      <c r="J357" s="6"/>
      <c r="K357" s="6"/>
      <c r="L357" s="6"/>
    </row>
    <row r="358" spans="9:12" x14ac:dyDescent="0.35">
      <c r="I358" s="6"/>
      <c r="J358" s="6"/>
      <c r="K358" s="6"/>
      <c r="L358" s="6"/>
    </row>
    <row r="359" spans="9:12" x14ac:dyDescent="0.35">
      <c r="I359" s="6"/>
      <c r="J359" s="6"/>
      <c r="K359" s="6"/>
      <c r="L359" s="6"/>
    </row>
    <row r="360" spans="9:12" x14ac:dyDescent="0.35">
      <c r="I360" s="6"/>
      <c r="J360" s="6"/>
      <c r="K360" s="6"/>
      <c r="L360" s="6"/>
    </row>
    <row r="361" spans="9:12" x14ac:dyDescent="0.35">
      <c r="I361" s="6"/>
      <c r="J361" s="6"/>
      <c r="K361" s="6"/>
      <c r="L361" s="6"/>
    </row>
    <row r="362" spans="9:12" x14ac:dyDescent="0.35">
      <c r="I362" s="6"/>
      <c r="J362" s="6"/>
      <c r="K362" s="6"/>
      <c r="L362" s="6"/>
    </row>
    <row r="363" spans="9:12" x14ac:dyDescent="0.35">
      <c r="I363" s="6"/>
      <c r="J363" s="6"/>
      <c r="K363" s="6"/>
      <c r="L363" s="6"/>
    </row>
    <row r="364" spans="9:12" x14ac:dyDescent="0.35">
      <c r="I364" s="6"/>
      <c r="J364" s="6"/>
      <c r="K364" s="6"/>
      <c r="L364" s="6"/>
    </row>
    <row r="365" spans="9:12" x14ac:dyDescent="0.35">
      <c r="I365" s="6"/>
      <c r="J365" s="6"/>
      <c r="K365" s="6"/>
      <c r="L365" s="6"/>
    </row>
    <row r="366" spans="9:12" x14ac:dyDescent="0.35">
      <c r="I366" s="6"/>
      <c r="J366" s="6"/>
      <c r="K366" s="6"/>
      <c r="L366" s="6"/>
    </row>
    <row r="367" spans="9:12" x14ac:dyDescent="0.35">
      <c r="I367" s="6"/>
      <c r="J367" s="6"/>
      <c r="K367" s="6"/>
      <c r="L367" s="6"/>
    </row>
    <row r="368" spans="9:12" x14ac:dyDescent="0.35">
      <c r="I368" s="6"/>
      <c r="J368" s="6"/>
      <c r="K368" s="6"/>
      <c r="L368" s="6"/>
    </row>
    <row r="369" spans="7:12" x14ac:dyDescent="0.35">
      <c r="I369" s="6"/>
      <c r="J369" s="6"/>
      <c r="K369" s="6"/>
      <c r="L369" s="6"/>
    </row>
    <row r="370" spans="7:12" x14ac:dyDescent="0.35">
      <c r="G370" s="6"/>
      <c r="H370" s="6"/>
      <c r="I370" s="6"/>
      <c r="J370" s="6"/>
      <c r="K370" s="6"/>
      <c r="L370" s="6"/>
    </row>
    <row r="371" spans="7:12" x14ac:dyDescent="0.35">
      <c r="G371" s="6"/>
      <c r="H371" s="6"/>
      <c r="I371" s="6"/>
      <c r="J371" s="6"/>
      <c r="K371" s="6"/>
      <c r="L371" s="6"/>
    </row>
    <row r="372" spans="7:12" x14ac:dyDescent="0.35">
      <c r="G372" s="6"/>
      <c r="H372" s="6"/>
      <c r="I372" s="6"/>
      <c r="J372" s="6"/>
      <c r="K372" s="6"/>
      <c r="L372" s="6"/>
    </row>
    <row r="373" spans="7:12" x14ac:dyDescent="0.35">
      <c r="G373" s="6"/>
      <c r="H373" s="6"/>
      <c r="I373" s="6"/>
      <c r="J373" s="6"/>
      <c r="K373" s="6"/>
      <c r="L373" s="6"/>
    </row>
    <row r="374" spans="7:12" x14ac:dyDescent="0.35">
      <c r="G374" s="6"/>
      <c r="H374" s="6"/>
      <c r="I374" s="6"/>
      <c r="J374" s="6"/>
      <c r="K374" s="6"/>
      <c r="L374" s="6"/>
    </row>
    <row r="375" spans="7:12" x14ac:dyDescent="0.35">
      <c r="G375" s="6"/>
      <c r="H375" s="6"/>
      <c r="I375" s="6"/>
      <c r="J375" s="6"/>
      <c r="K375" s="6"/>
      <c r="L375" s="6"/>
    </row>
    <row r="376" spans="7:12" x14ac:dyDescent="0.35">
      <c r="G376" s="6"/>
      <c r="H376" s="6"/>
      <c r="I376" s="6"/>
      <c r="J376" s="6"/>
      <c r="K376" s="6"/>
      <c r="L376" s="6"/>
    </row>
    <row r="377" spans="7:12" x14ac:dyDescent="0.35">
      <c r="G377" s="6"/>
      <c r="H377" s="6"/>
      <c r="I377" s="6"/>
      <c r="J377" s="6"/>
      <c r="K377" s="6"/>
      <c r="L377" s="6"/>
    </row>
    <row r="378" spans="7:12" x14ac:dyDescent="0.35">
      <c r="G378" s="6"/>
      <c r="H378" s="6"/>
      <c r="I378" s="6"/>
      <c r="J378" s="6"/>
      <c r="K378" s="6"/>
      <c r="L378" s="6"/>
    </row>
  </sheetData>
  <sheetProtection sheet="1" objects="1" scenarios="1" selectLockedCells="1"/>
  <phoneticPr fontId="2" type="noConversion"/>
  <pageMargins left="0.75" right="0.75" top="1" bottom="1" header="0.5" footer="0.5"/>
  <pageSetup orientation="portrait" horizontalDpi="4294967295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N357"/>
  <sheetViews>
    <sheetView workbookViewId="0">
      <selection activeCell="H1" sqref="H1"/>
    </sheetView>
  </sheetViews>
  <sheetFormatPr defaultRowHeight="15.5" x14ac:dyDescent="0.35"/>
  <cols>
    <col min="1" max="1" width="6" style="3" customWidth="1"/>
    <col min="2" max="2" width="48.54296875" style="4" customWidth="1"/>
    <col min="3" max="3" width="21.453125" style="3" customWidth="1"/>
    <col min="4" max="5" width="8.7265625" style="3"/>
    <col min="6" max="6" width="9.54296875" style="3" customWidth="1"/>
    <col min="7" max="7" width="16.81640625" style="3" customWidth="1"/>
    <col min="8" max="16384" width="8.7265625" style="3"/>
  </cols>
  <sheetData>
    <row r="1" spans="2:14" ht="18" x14ac:dyDescent="0.4">
      <c r="B1" s="81" t="s">
        <v>434</v>
      </c>
      <c r="D1" s="4"/>
      <c r="G1" s="6"/>
      <c r="H1" s="6"/>
      <c r="I1" s="6"/>
      <c r="J1" s="6"/>
      <c r="K1" s="6"/>
      <c r="L1" s="6"/>
      <c r="M1" s="6"/>
      <c r="N1" s="6"/>
    </row>
    <row r="2" spans="2:14" x14ac:dyDescent="0.35">
      <c r="B2" s="2"/>
      <c r="D2" s="5"/>
      <c r="G2" s="6"/>
      <c r="H2" s="6"/>
      <c r="I2" s="6"/>
      <c r="J2" s="6"/>
      <c r="K2" s="6"/>
      <c r="L2" s="6"/>
      <c r="M2" s="6"/>
      <c r="N2" s="6"/>
    </row>
    <row r="3" spans="2:14" x14ac:dyDescent="0.35">
      <c r="G3" s="6"/>
      <c r="H3" s="6"/>
      <c r="I3" s="6"/>
      <c r="J3" s="6"/>
      <c r="K3" s="6"/>
      <c r="L3" s="6"/>
      <c r="M3" s="6"/>
      <c r="N3" s="6"/>
    </row>
    <row r="4" spans="2:14" ht="18" x14ac:dyDescent="0.4">
      <c r="B4" s="81" t="s">
        <v>106</v>
      </c>
      <c r="G4" s="6"/>
      <c r="H4" s="6"/>
      <c r="I4" s="6"/>
      <c r="J4" s="6"/>
      <c r="K4" s="6"/>
      <c r="L4" s="6"/>
      <c r="M4" s="6"/>
      <c r="N4" s="6"/>
    </row>
    <row r="5" spans="2:14" x14ac:dyDescent="0.35">
      <c r="G5" s="6"/>
      <c r="H5" s="6"/>
      <c r="I5" s="6"/>
      <c r="J5" s="6"/>
      <c r="K5" s="6"/>
      <c r="L5" s="6"/>
      <c r="M5" s="6"/>
      <c r="N5" s="6"/>
    </row>
    <row r="6" spans="2:14" x14ac:dyDescent="0.35">
      <c r="B6" s="2" t="s">
        <v>111</v>
      </c>
      <c r="G6" s="6"/>
      <c r="H6" s="6"/>
      <c r="I6" s="6"/>
      <c r="J6" s="6"/>
      <c r="K6" s="6"/>
      <c r="L6" s="6"/>
      <c r="M6" s="6"/>
      <c r="N6" s="6"/>
    </row>
    <row r="7" spans="2:14" x14ac:dyDescent="0.35">
      <c r="G7" s="6"/>
      <c r="H7" s="6"/>
      <c r="I7" s="6"/>
      <c r="J7" s="6"/>
      <c r="K7" s="6"/>
      <c r="L7" s="6"/>
      <c r="M7" s="6"/>
      <c r="N7" s="6"/>
    </row>
    <row r="8" spans="2:14" x14ac:dyDescent="0.35">
      <c r="B8" s="10" t="s">
        <v>105</v>
      </c>
      <c r="G8" s="6"/>
      <c r="H8" s="6"/>
      <c r="I8" s="6"/>
      <c r="J8" s="6"/>
      <c r="K8" s="6"/>
      <c r="L8" s="6"/>
      <c r="M8" s="6"/>
      <c r="N8" s="6"/>
    </row>
    <row r="9" spans="2:14" x14ac:dyDescent="0.35">
      <c r="B9" s="26"/>
      <c r="C9" s="8"/>
      <c r="G9" s="6"/>
      <c r="H9" s="6"/>
      <c r="I9" s="6"/>
      <c r="J9" s="6"/>
      <c r="K9" s="6"/>
      <c r="L9" s="6"/>
      <c r="M9" s="6"/>
      <c r="N9" s="6"/>
    </row>
    <row r="10" spans="2:14" ht="16" thickBot="1" x14ac:dyDescent="0.4">
      <c r="C10" s="14" t="s">
        <v>7</v>
      </c>
      <c r="G10" s="6"/>
      <c r="H10" s="6"/>
      <c r="I10" s="6"/>
      <c r="J10" s="6"/>
      <c r="K10" s="6"/>
      <c r="L10" s="6"/>
      <c r="M10" s="6"/>
      <c r="N10" s="6"/>
    </row>
    <row r="11" spans="2:14" x14ac:dyDescent="0.35">
      <c r="B11" s="4" t="s">
        <v>373</v>
      </c>
      <c r="C11" s="149">
        <v>100</v>
      </c>
      <c r="D11" s="3" t="s">
        <v>182</v>
      </c>
      <c r="G11" s="6"/>
      <c r="H11" s="6"/>
      <c r="I11" s="6"/>
      <c r="J11" s="6"/>
      <c r="K11" s="6"/>
      <c r="L11" s="6"/>
      <c r="M11" s="6"/>
      <c r="N11" s="6"/>
    </row>
    <row r="12" spans="2:14" x14ac:dyDescent="0.35">
      <c r="B12" s="4" t="s">
        <v>374</v>
      </c>
      <c r="C12" s="21">
        <v>0.375</v>
      </c>
      <c r="D12" s="3" t="s">
        <v>11</v>
      </c>
      <c r="G12" s="6"/>
      <c r="H12" s="6"/>
      <c r="I12" s="6"/>
      <c r="J12" s="6"/>
      <c r="K12" s="6"/>
      <c r="L12" s="6"/>
      <c r="M12" s="6"/>
      <c r="N12" s="6"/>
    </row>
    <row r="13" spans="2:14" ht="16" thickBot="1" x14ac:dyDescent="0.4">
      <c r="B13" s="4" t="s">
        <v>375</v>
      </c>
      <c r="C13" s="150">
        <v>3</v>
      </c>
      <c r="D13" s="3" t="s">
        <v>11</v>
      </c>
      <c r="G13" s="6"/>
      <c r="H13" s="6"/>
      <c r="I13" s="6"/>
      <c r="J13" s="6"/>
      <c r="K13" s="6"/>
      <c r="L13" s="6"/>
      <c r="M13" s="6"/>
      <c r="N13" s="6"/>
    </row>
    <row r="14" spans="2:14" x14ac:dyDescent="0.35">
      <c r="C14" s="14" t="s">
        <v>89</v>
      </c>
      <c r="G14" s="6"/>
      <c r="H14" s="6"/>
      <c r="I14" s="6"/>
      <c r="J14" s="6"/>
      <c r="K14" s="6"/>
      <c r="L14" s="6"/>
      <c r="M14" s="6"/>
      <c r="N14" s="6"/>
    </row>
    <row r="15" spans="2:14" x14ac:dyDescent="0.35">
      <c r="B15" s="4" t="s">
        <v>110</v>
      </c>
      <c r="C15" s="5" t="s">
        <v>103</v>
      </c>
      <c r="G15" s="6"/>
      <c r="H15" s="6"/>
      <c r="I15" s="59" t="s">
        <v>22</v>
      </c>
      <c r="J15" s="6"/>
      <c r="K15" s="6"/>
      <c r="L15" s="6"/>
      <c r="M15" s="6"/>
      <c r="N15" s="6"/>
    </row>
    <row r="16" spans="2:14" x14ac:dyDescent="0.35">
      <c r="B16" s="4" t="s">
        <v>380</v>
      </c>
      <c r="C16" s="151">
        <f>C12 * C13^3 / 12</f>
        <v>0.84375</v>
      </c>
      <c r="G16" s="6"/>
      <c r="H16" s="59"/>
      <c r="I16" s="6"/>
      <c r="J16" s="6"/>
      <c r="K16" s="6"/>
      <c r="L16" s="6"/>
      <c r="M16" s="6"/>
      <c r="N16" s="6"/>
    </row>
    <row r="17" spans="2:14" x14ac:dyDescent="0.35">
      <c r="B17" s="4" t="s">
        <v>115</v>
      </c>
      <c r="C17" s="5" t="s">
        <v>116</v>
      </c>
      <c r="G17" s="6"/>
      <c r="H17" s="6"/>
      <c r="I17" s="6"/>
      <c r="J17" s="6"/>
      <c r="K17" s="6"/>
      <c r="L17" s="6"/>
      <c r="M17" s="6"/>
      <c r="N17" s="6"/>
    </row>
    <row r="18" spans="2:14" x14ac:dyDescent="0.35">
      <c r="B18" s="4" t="s">
        <v>381</v>
      </c>
      <c r="C18" s="70">
        <f>C13 / 2</f>
        <v>1.5</v>
      </c>
      <c r="G18" s="6"/>
      <c r="H18" s="6"/>
      <c r="I18" s="6"/>
      <c r="J18" s="6"/>
      <c r="K18" s="6"/>
      <c r="L18" s="6"/>
      <c r="M18" s="6"/>
      <c r="N18" s="6"/>
    </row>
    <row r="19" spans="2:14" x14ac:dyDescent="0.35">
      <c r="B19" s="4" t="s">
        <v>376</v>
      </c>
      <c r="C19" s="5" t="s">
        <v>117</v>
      </c>
      <c r="G19" s="6"/>
      <c r="H19" s="6"/>
      <c r="I19" s="6"/>
      <c r="J19" s="6"/>
      <c r="K19" s="6"/>
      <c r="L19" s="6"/>
      <c r="M19" s="6"/>
      <c r="N19" s="6"/>
    </row>
    <row r="20" spans="2:14" x14ac:dyDescent="0.35">
      <c r="B20" s="26" t="s">
        <v>104</v>
      </c>
      <c r="C20" s="159">
        <f>C11*C18 / C16</f>
        <v>177.77777777777777</v>
      </c>
      <c r="D20" s="8" t="s">
        <v>21</v>
      </c>
      <c r="G20" s="6"/>
      <c r="H20" s="6"/>
      <c r="I20" s="6"/>
      <c r="J20" s="6"/>
      <c r="K20" s="6"/>
      <c r="L20" s="6"/>
      <c r="M20" s="6"/>
      <c r="N20" s="6"/>
    </row>
    <row r="21" spans="2:14" x14ac:dyDescent="0.35">
      <c r="B21" s="4" t="s">
        <v>429</v>
      </c>
      <c r="C21" s="5" t="s">
        <v>377</v>
      </c>
      <c r="G21" s="6"/>
      <c r="H21" s="6"/>
      <c r="I21" s="6"/>
      <c r="J21" s="6"/>
      <c r="K21" s="6"/>
      <c r="L21" s="6"/>
      <c r="M21" s="6"/>
      <c r="N21" s="6"/>
    </row>
    <row r="22" spans="2:14" x14ac:dyDescent="0.35">
      <c r="B22" s="26" t="s">
        <v>172</v>
      </c>
      <c r="C22" s="159">
        <f>C20 * C12</f>
        <v>66.666666666666657</v>
      </c>
      <c r="D22" s="118" t="s">
        <v>427</v>
      </c>
      <c r="E22" s="116"/>
      <c r="G22" s="6"/>
      <c r="H22" s="6"/>
      <c r="I22" s="6"/>
      <c r="J22" s="6"/>
      <c r="K22" s="6"/>
      <c r="L22" s="6"/>
      <c r="M22" s="6"/>
      <c r="N22" s="6"/>
    </row>
    <row r="23" spans="2:14" x14ac:dyDescent="0.35">
      <c r="D23" s="116"/>
      <c r="E23" s="116"/>
      <c r="G23" s="6"/>
      <c r="H23" s="6"/>
      <c r="I23" s="6"/>
      <c r="J23" s="6"/>
      <c r="K23" s="6"/>
      <c r="L23" s="6"/>
      <c r="M23" s="6"/>
      <c r="N23" s="6"/>
    </row>
    <row r="24" spans="2:14" x14ac:dyDescent="0.35">
      <c r="B24" s="2" t="s">
        <v>107</v>
      </c>
      <c r="G24" s="6"/>
      <c r="H24" s="6"/>
      <c r="I24" s="6"/>
      <c r="J24" s="6"/>
      <c r="K24" s="6"/>
      <c r="L24" s="6"/>
      <c r="M24" s="6"/>
      <c r="N24" s="6"/>
    </row>
    <row r="25" spans="2:14" ht="16" thickBot="1" x14ac:dyDescent="0.4">
      <c r="B25" s="4" t="s">
        <v>387</v>
      </c>
      <c r="C25" s="14" t="s">
        <v>7</v>
      </c>
      <c r="G25" s="6"/>
      <c r="H25" s="6"/>
      <c r="I25" s="6"/>
      <c r="J25" s="6"/>
      <c r="K25" s="6"/>
      <c r="L25" s="6"/>
      <c r="M25" s="6"/>
      <c r="N25" s="6"/>
    </row>
    <row r="26" spans="2:14" x14ac:dyDescent="0.35">
      <c r="B26" s="4" t="s">
        <v>379</v>
      </c>
      <c r="C26" s="149">
        <v>64</v>
      </c>
      <c r="D26" s="3" t="s">
        <v>182</v>
      </c>
      <c r="G26" s="6"/>
      <c r="H26" s="6"/>
      <c r="I26" s="6"/>
      <c r="J26" s="6"/>
      <c r="K26" s="6"/>
      <c r="L26" s="6"/>
      <c r="M26" s="6"/>
      <c r="N26" s="6"/>
    </row>
    <row r="27" spans="2:14" x14ac:dyDescent="0.35">
      <c r="B27" s="4" t="s">
        <v>378</v>
      </c>
      <c r="C27" s="21">
        <v>0.375</v>
      </c>
      <c r="D27" s="3" t="s">
        <v>11</v>
      </c>
      <c r="G27" s="6"/>
      <c r="H27" s="6"/>
      <c r="I27" s="6"/>
      <c r="J27" s="6"/>
      <c r="K27" s="6"/>
      <c r="L27" s="6"/>
      <c r="M27" s="6"/>
      <c r="N27" s="6"/>
    </row>
    <row r="28" spans="2:14" ht="16" thickBot="1" x14ac:dyDescent="0.4">
      <c r="B28" s="4" t="s">
        <v>375</v>
      </c>
      <c r="C28" s="150">
        <v>3</v>
      </c>
      <c r="D28" s="3" t="s">
        <v>11</v>
      </c>
      <c r="G28" s="6"/>
      <c r="H28" s="6"/>
      <c r="I28" s="6"/>
      <c r="J28" s="6"/>
      <c r="K28" s="6"/>
      <c r="L28" s="6"/>
      <c r="M28" s="6"/>
      <c r="N28" s="6"/>
    </row>
    <row r="29" spans="2:14" x14ac:dyDescent="0.35">
      <c r="B29" s="10" t="s">
        <v>382</v>
      </c>
      <c r="C29" s="14" t="s">
        <v>89</v>
      </c>
      <c r="G29" s="6"/>
      <c r="H29" s="6"/>
      <c r="I29" s="6"/>
      <c r="J29" s="6"/>
      <c r="K29" s="6"/>
      <c r="L29" s="6"/>
      <c r="M29" s="6"/>
      <c r="N29" s="6"/>
    </row>
    <row r="30" spans="2:14" x14ac:dyDescent="0.35">
      <c r="B30" s="4" t="s">
        <v>118</v>
      </c>
      <c r="C30" s="3" t="s">
        <v>247</v>
      </c>
      <c r="G30" s="6"/>
      <c r="H30" s="6"/>
      <c r="I30" s="6"/>
      <c r="J30" s="6"/>
      <c r="K30" s="6"/>
      <c r="L30" s="6"/>
      <c r="M30" s="6"/>
      <c r="N30" s="6"/>
    </row>
    <row r="31" spans="2:14" x14ac:dyDescent="0.35">
      <c r="B31" s="4" t="s">
        <v>113</v>
      </c>
      <c r="C31" s="151">
        <f>C28*C27*( C27^2+C28^2 ) / 12</f>
        <v>0.85693359375</v>
      </c>
      <c r="D31" s="3" t="s">
        <v>158</v>
      </c>
      <c r="G31" s="6"/>
      <c r="H31" s="6"/>
      <c r="I31" s="6"/>
      <c r="J31" s="6"/>
      <c r="K31" s="6"/>
      <c r="L31" s="6"/>
      <c r="M31" s="6"/>
      <c r="N31" s="6"/>
    </row>
    <row r="32" spans="2:14" x14ac:dyDescent="0.35">
      <c r="B32" s="4" t="s">
        <v>115</v>
      </c>
      <c r="C32" s="5" t="s">
        <v>116</v>
      </c>
      <c r="G32" s="6"/>
      <c r="H32" s="6"/>
      <c r="I32" s="6"/>
      <c r="J32" s="6"/>
      <c r="K32" s="6"/>
      <c r="L32" s="6"/>
      <c r="M32" s="6"/>
      <c r="N32" s="6"/>
    </row>
    <row r="33" spans="2:14" x14ac:dyDescent="0.35">
      <c r="B33" s="4" t="s">
        <v>384</v>
      </c>
      <c r="C33" s="70">
        <f>C28 / 2</f>
        <v>1.5</v>
      </c>
      <c r="D33" s="3" t="s">
        <v>11</v>
      </c>
      <c r="G33" s="6"/>
      <c r="H33" s="6"/>
      <c r="I33" s="6"/>
      <c r="J33" s="6"/>
      <c r="K33" s="6"/>
      <c r="L33" s="6"/>
      <c r="M33" s="6"/>
      <c r="N33" s="6"/>
    </row>
    <row r="34" spans="2:14" x14ac:dyDescent="0.35">
      <c r="B34" s="4" t="s">
        <v>383</v>
      </c>
      <c r="C34" s="5" t="s">
        <v>386</v>
      </c>
      <c r="G34" s="6"/>
      <c r="H34" s="6"/>
      <c r="I34" s="6"/>
      <c r="J34" s="6"/>
      <c r="K34" s="6"/>
      <c r="L34" s="6"/>
      <c r="M34" s="6"/>
      <c r="N34" s="6"/>
    </row>
    <row r="35" spans="2:14" x14ac:dyDescent="0.35">
      <c r="B35" s="26" t="s">
        <v>385</v>
      </c>
      <c r="C35" s="159">
        <f>C26*C33 / C31</f>
        <v>112.02735042735043</v>
      </c>
      <c r="D35" s="8" t="s">
        <v>21</v>
      </c>
      <c r="G35" s="6"/>
      <c r="H35" s="6"/>
      <c r="I35" s="6"/>
      <c r="J35" s="6"/>
      <c r="K35" s="6"/>
      <c r="L35" s="6"/>
      <c r="M35" s="6"/>
      <c r="N35" s="6"/>
    </row>
    <row r="36" spans="2:14" x14ac:dyDescent="0.35">
      <c r="G36" s="6"/>
      <c r="H36" s="6"/>
      <c r="I36" s="6"/>
      <c r="J36" s="6"/>
      <c r="K36" s="6"/>
      <c r="L36" s="6"/>
      <c r="M36" s="6"/>
      <c r="N36" s="6"/>
    </row>
    <row r="37" spans="2:14" x14ac:dyDescent="0.35">
      <c r="B37" s="2" t="s">
        <v>108</v>
      </c>
      <c r="G37" s="6"/>
      <c r="H37" s="6"/>
      <c r="I37" s="6"/>
      <c r="J37" s="6"/>
      <c r="K37" s="6"/>
      <c r="L37" s="6"/>
      <c r="M37" s="6"/>
      <c r="N37" s="6"/>
    </row>
    <row r="38" spans="2:14" ht="16" thickBot="1" x14ac:dyDescent="0.4">
      <c r="B38" s="4" t="s">
        <v>387</v>
      </c>
      <c r="C38" s="14" t="s">
        <v>7</v>
      </c>
      <c r="G38" s="6"/>
      <c r="H38" s="6"/>
      <c r="I38" s="6"/>
      <c r="J38" s="6"/>
      <c r="K38" s="6"/>
      <c r="L38" s="6"/>
      <c r="M38" s="6"/>
      <c r="N38" s="6"/>
    </row>
    <row r="39" spans="2:14" x14ac:dyDescent="0.35">
      <c r="B39" s="4" t="s">
        <v>388</v>
      </c>
      <c r="C39" s="17">
        <v>400</v>
      </c>
      <c r="D39" s="3" t="s">
        <v>182</v>
      </c>
      <c r="G39" s="6"/>
      <c r="H39" s="39"/>
      <c r="I39" s="6"/>
      <c r="J39" s="6"/>
      <c r="K39" s="6"/>
      <c r="L39" s="6"/>
      <c r="M39" s="6"/>
      <c r="N39" s="6"/>
    </row>
    <row r="40" spans="2:14" x14ac:dyDescent="0.35">
      <c r="B40" s="4" t="s">
        <v>378</v>
      </c>
      <c r="C40" s="19">
        <v>0.375</v>
      </c>
      <c r="D40" s="3" t="s">
        <v>11</v>
      </c>
      <c r="G40" s="6"/>
      <c r="H40" s="39"/>
      <c r="I40" s="6"/>
      <c r="J40" s="6"/>
      <c r="K40" s="6"/>
      <c r="L40" s="6"/>
      <c r="M40" s="6"/>
      <c r="N40" s="6"/>
    </row>
    <row r="41" spans="2:14" x14ac:dyDescent="0.35">
      <c r="B41" s="4" t="s">
        <v>375</v>
      </c>
      <c r="C41" s="154">
        <v>4</v>
      </c>
      <c r="D41" s="3" t="s">
        <v>11</v>
      </c>
      <c r="G41" s="6"/>
      <c r="H41" s="39"/>
      <c r="I41" s="6"/>
      <c r="J41" s="6"/>
      <c r="K41" s="6"/>
      <c r="L41" s="6"/>
      <c r="M41" s="6"/>
      <c r="N41" s="6"/>
    </row>
    <row r="42" spans="2:14" ht="16" thickBot="1" x14ac:dyDescent="0.4">
      <c r="B42" s="4" t="s">
        <v>389</v>
      </c>
      <c r="C42" s="150">
        <v>3</v>
      </c>
      <c r="D42" s="3" t="s">
        <v>11</v>
      </c>
      <c r="G42" s="6"/>
      <c r="H42" s="39"/>
      <c r="I42" s="6"/>
      <c r="J42" s="6"/>
      <c r="K42" s="6"/>
      <c r="L42" s="6"/>
      <c r="M42" s="6"/>
      <c r="N42" s="6"/>
    </row>
    <row r="43" spans="2:14" x14ac:dyDescent="0.35">
      <c r="C43" s="14" t="s">
        <v>89</v>
      </c>
      <c r="G43" s="6"/>
      <c r="H43" s="39"/>
      <c r="I43" s="6"/>
      <c r="J43" s="6"/>
      <c r="K43" s="6"/>
      <c r="L43" s="6"/>
      <c r="M43" s="6"/>
      <c r="N43" s="6"/>
    </row>
    <row r="44" spans="2:14" x14ac:dyDescent="0.35">
      <c r="B44" s="4" t="s">
        <v>392</v>
      </c>
      <c r="C44" s="3" t="s">
        <v>394</v>
      </c>
      <c r="G44" s="6"/>
      <c r="H44" s="6"/>
      <c r="I44" s="6"/>
      <c r="J44" s="6"/>
      <c r="K44" s="6"/>
      <c r="L44" s="6"/>
      <c r="M44" s="6"/>
      <c r="N44" s="6"/>
    </row>
    <row r="45" spans="2:14" x14ac:dyDescent="0.35">
      <c r="B45" s="4" t="s">
        <v>397</v>
      </c>
      <c r="C45" s="151">
        <f>( C42 * C41^3 / 12 )</f>
        <v>16</v>
      </c>
      <c r="D45" s="3" t="s">
        <v>158</v>
      </c>
      <c r="G45" s="6"/>
      <c r="H45" s="6"/>
      <c r="I45" s="6"/>
      <c r="J45" s="6"/>
      <c r="K45" s="6"/>
      <c r="L45" s="6"/>
      <c r="M45" s="6"/>
      <c r="N45" s="6"/>
    </row>
    <row r="46" spans="2:14" x14ac:dyDescent="0.35">
      <c r="B46" s="4" t="s">
        <v>395</v>
      </c>
      <c r="C46" s="3" t="s">
        <v>396</v>
      </c>
      <c r="G46" s="6"/>
      <c r="H46" s="6"/>
      <c r="I46" s="6"/>
      <c r="J46" s="6"/>
      <c r="K46" s="6"/>
      <c r="L46" s="6"/>
      <c r="M46" s="6"/>
      <c r="N46" s="6"/>
    </row>
    <row r="47" spans="2:14" x14ac:dyDescent="0.35">
      <c r="B47" s="4" t="s">
        <v>397</v>
      </c>
      <c r="C47" s="151">
        <f>( (C42-2*C40) * (C41-2*C40)^3 / 12 )</f>
        <v>6.4365234375</v>
      </c>
      <c r="D47" s="3" t="s">
        <v>158</v>
      </c>
      <c r="G47" s="6"/>
      <c r="H47" s="6"/>
      <c r="I47" s="6"/>
      <c r="J47" s="6"/>
      <c r="K47" s="6"/>
      <c r="L47" s="6"/>
      <c r="M47" s="6"/>
      <c r="N47" s="6"/>
    </row>
    <row r="48" spans="2:14" x14ac:dyDescent="0.35">
      <c r="B48" s="10" t="s">
        <v>390</v>
      </c>
      <c r="C48" s="5"/>
      <c r="G48" s="6"/>
      <c r="H48" s="6"/>
      <c r="I48" s="6"/>
      <c r="J48" s="6"/>
      <c r="K48" s="6"/>
      <c r="L48" s="6"/>
      <c r="M48" s="6"/>
      <c r="N48" s="6"/>
    </row>
    <row r="49" spans="2:14" x14ac:dyDescent="0.35">
      <c r="B49" s="10" t="s">
        <v>393</v>
      </c>
      <c r="C49" s="3" t="s">
        <v>391</v>
      </c>
      <c r="G49" s="6"/>
      <c r="H49" s="6"/>
      <c r="I49" s="6"/>
      <c r="J49" s="6"/>
      <c r="K49" s="6"/>
      <c r="L49" s="6"/>
      <c r="M49" s="6"/>
      <c r="N49" s="6"/>
    </row>
    <row r="50" spans="2:14" x14ac:dyDescent="0.35">
      <c r="B50" s="4" t="s">
        <v>380</v>
      </c>
      <c r="C50" s="151">
        <f>C45-C47</f>
        <v>9.5634765625</v>
      </c>
      <c r="D50" s="3" t="s">
        <v>158</v>
      </c>
      <c r="G50" s="6"/>
      <c r="H50" s="6"/>
      <c r="I50" s="6"/>
      <c r="J50" s="6"/>
      <c r="K50" s="6"/>
      <c r="L50" s="6"/>
      <c r="M50" s="6"/>
      <c r="N50" s="6"/>
    </row>
    <row r="51" spans="2:14" x14ac:dyDescent="0.35">
      <c r="B51" s="4" t="s">
        <v>115</v>
      </c>
      <c r="C51" s="5" t="s">
        <v>116</v>
      </c>
      <c r="F51" s="27"/>
      <c r="H51" s="6"/>
      <c r="I51" s="6"/>
      <c r="J51" s="6"/>
      <c r="K51" s="6"/>
      <c r="L51" s="6"/>
      <c r="M51" s="6"/>
      <c r="N51" s="6"/>
    </row>
    <row r="52" spans="2:14" x14ac:dyDescent="0.35">
      <c r="B52" s="4" t="s">
        <v>384</v>
      </c>
      <c r="C52" s="70">
        <f>C41 / 2</f>
        <v>2</v>
      </c>
      <c r="G52" s="6"/>
      <c r="H52" s="6"/>
      <c r="I52" s="6"/>
      <c r="J52" s="6"/>
      <c r="K52" s="6"/>
      <c r="L52" s="6"/>
      <c r="M52" s="6"/>
      <c r="N52" s="6"/>
    </row>
    <row r="53" spans="2:14" x14ac:dyDescent="0.35">
      <c r="B53" s="4" t="s">
        <v>376</v>
      </c>
      <c r="C53" s="5" t="s">
        <v>406</v>
      </c>
      <c r="G53" s="6"/>
      <c r="H53" s="6"/>
      <c r="I53" s="6"/>
      <c r="J53" s="6"/>
      <c r="K53" s="6"/>
      <c r="L53" s="6"/>
      <c r="M53" s="6"/>
      <c r="N53" s="6"/>
    </row>
    <row r="54" spans="2:14" x14ac:dyDescent="0.35">
      <c r="B54" s="26" t="s">
        <v>104</v>
      </c>
      <c r="C54" s="159">
        <f>C39*C52 / C50</f>
        <v>83.65158786888594</v>
      </c>
      <c r="D54" s="8" t="s">
        <v>21</v>
      </c>
      <c r="G54" s="6"/>
      <c r="H54" s="6"/>
      <c r="I54" s="6"/>
      <c r="J54" s="6"/>
      <c r="K54" s="6"/>
      <c r="L54" s="6"/>
      <c r="M54" s="6"/>
      <c r="N54" s="6"/>
    </row>
    <row r="55" spans="2:14" x14ac:dyDescent="0.35">
      <c r="G55" s="6"/>
      <c r="H55" s="6"/>
      <c r="I55" s="6"/>
      <c r="J55" s="6"/>
      <c r="K55" s="6"/>
      <c r="L55" s="6"/>
      <c r="M55" s="6"/>
      <c r="N55" s="6"/>
    </row>
    <row r="56" spans="2:14" x14ac:dyDescent="0.35">
      <c r="G56" s="6"/>
      <c r="H56" s="6"/>
      <c r="I56" s="6"/>
      <c r="J56" s="6"/>
      <c r="K56" s="6"/>
      <c r="L56" s="6"/>
      <c r="M56" s="6"/>
      <c r="N56" s="6"/>
    </row>
    <row r="57" spans="2:14" x14ac:dyDescent="0.35">
      <c r="B57" s="2" t="s">
        <v>112</v>
      </c>
      <c r="G57" s="6"/>
      <c r="H57" s="6"/>
      <c r="I57" s="6"/>
      <c r="J57" s="6"/>
      <c r="K57" s="6"/>
      <c r="L57" s="6"/>
      <c r="M57" s="6"/>
      <c r="N57" s="6"/>
    </row>
    <row r="58" spans="2:14" ht="16" thickBot="1" x14ac:dyDescent="0.4">
      <c r="B58" s="4" t="s">
        <v>387</v>
      </c>
      <c r="C58" s="14" t="s">
        <v>7</v>
      </c>
      <c r="G58" s="6"/>
      <c r="H58" s="6"/>
      <c r="I58" s="6"/>
      <c r="J58" s="6"/>
      <c r="K58" s="6"/>
      <c r="L58" s="6"/>
      <c r="M58" s="6"/>
      <c r="N58" s="6"/>
    </row>
    <row r="59" spans="2:14" x14ac:dyDescent="0.35">
      <c r="B59" s="4" t="s">
        <v>398</v>
      </c>
      <c r="C59" s="17">
        <v>4000</v>
      </c>
      <c r="D59" s="3" t="s">
        <v>182</v>
      </c>
      <c r="G59" s="6"/>
      <c r="H59" s="6"/>
      <c r="I59" s="6"/>
      <c r="J59" s="6"/>
      <c r="K59" s="6"/>
      <c r="L59" s="6"/>
      <c r="M59" s="6"/>
      <c r="N59" s="6"/>
    </row>
    <row r="60" spans="2:14" x14ac:dyDescent="0.35">
      <c r="B60" s="4" t="s">
        <v>378</v>
      </c>
      <c r="C60" s="19">
        <v>0.25</v>
      </c>
      <c r="D60" s="3" t="s">
        <v>11</v>
      </c>
      <c r="G60" s="6"/>
      <c r="H60" s="6"/>
      <c r="I60" s="6"/>
      <c r="J60" s="6"/>
      <c r="K60" s="6"/>
      <c r="L60" s="6"/>
      <c r="M60" s="6"/>
      <c r="N60" s="6"/>
    </row>
    <row r="61" spans="2:14" x14ac:dyDescent="0.35">
      <c r="B61" s="4" t="s">
        <v>375</v>
      </c>
      <c r="C61" s="154">
        <v>4</v>
      </c>
      <c r="D61" s="3" t="s">
        <v>11</v>
      </c>
      <c r="G61" s="10"/>
      <c r="H61" s="6"/>
      <c r="I61" s="6"/>
      <c r="J61" s="6"/>
      <c r="K61" s="6"/>
      <c r="L61" s="6"/>
      <c r="M61" s="6"/>
      <c r="N61" s="6"/>
    </row>
    <row r="62" spans="2:14" ht="16" thickBot="1" x14ac:dyDescent="0.4">
      <c r="B62" s="4" t="s">
        <v>389</v>
      </c>
      <c r="C62" s="150">
        <v>3</v>
      </c>
      <c r="D62" s="3" t="s">
        <v>11</v>
      </c>
      <c r="G62" s="4"/>
      <c r="H62" s="6"/>
      <c r="I62" s="59"/>
      <c r="J62" s="6"/>
      <c r="K62" s="6"/>
      <c r="L62" s="6"/>
      <c r="M62" s="6"/>
      <c r="N62" s="6"/>
    </row>
    <row r="63" spans="2:14" x14ac:dyDescent="0.35">
      <c r="C63" s="14" t="s">
        <v>89</v>
      </c>
      <c r="H63" s="6"/>
      <c r="I63" s="52"/>
      <c r="J63" s="6"/>
      <c r="K63" s="6"/>
      <c r="L63" s="6"/>
      <c r="M63" s="6"/>
      <c r="N63" s="6"/>
    </row>
    <row r="64" spans="2:14" x14ac:dyDescent="0.35">
      <c r="B64" s="10" t="s">
        <v>114</v>
      </c>
      <c r="G64" s="4"/>
      <c r="H64" s="6"/>
      <c r="I64" s="52"/>
      <c r="J64" s="6"/>
      <c r="K64" s="6"/>
      <c r="L64" s="6"/>
      <c r="M64" s="6"/>
      <c r="N64" s="6"/>
    </row>
    <row r="65" spans="2:14" x14ac:dyDescent="0.35">
      <c r="B65" s="4" t="s">
        <v>400</v>
      </c>
      <c r="C65" s="3" t="s">
        <v>399</v>
      </c>
      <c r="G65" s="10"/>
      <c r="H65" s="6"/>
      <c r="I65" s="52"/>
      <c r="J65" s="6"/>
      <c r="K65" s="6"/>
      <c r="L65" s="6"/>
      <c r="M65" s="6"/>
      <c r="N65" s="6"/>
    </row>
    <row r="66" spans="2:14" x14ac:dyDescent="0.35">
      <c r="B66" s="4" t="s">
        <v>400</v>
      </c>
      <c r="C66" s="151">
        <f>C62 * C61 * ( C62^2 + C61^2 ) / 12</f>
        <v>25</v>
      </c>
      <c r="D66" s="3" t="s">
        <v>158</v>
      </c>
      <c r="G66" s="4"/>
      <c r="H66" s="6"/>
      <c r="I66" s="52"/>
      <c r="J66" s="6"/>
      <c r="K66" s="6"/>
      <c r="L66" s="6"/>
      <c r="M66" s="6"/>
      <c r="N66" s="6"/>
    </row>
    <row r="67" spans="2:14" x14ac:dyDescent="0.35">
      <c r="B67" s="4" t="s">
        <v>402</v>
      </c>
      <c r="C67" s="3" t="s">
        <v>401</v>
      </c>
      <c r="H67" s="6"/>
      <c r="I67" s="59"/>
      <c r="J67" s="6"/>
      <c r="K67" s="6"/>
      <c r="L67" s="6"/>
      <c r="M67" s="6"/>
      <c r="N67" s="6"/>
    </row>
    <row r="68" spans="2:14" x14ac:dyDescent="0.35">
      <c r="B68" s="4" t="s">
        <v>402</v>
      </c>
      <c r="C68" s="151">
        <f>( (C62-2*C60) * (C61-2*C60) * ( (C62-2*C60)^2 + (C61-2*C60)^2 ) / 12 )</f>
        <v>13.489583333333334</v>
      </c>
      <c r="D68" s="3" t="s">
        <v>158</v>
      </c>
      <c r="G68" s="4"/>
      <c r="H68" s="6"/>
      <c r="I68" s="52"/>
      <c r="J68" s="6"/>
      <c r="K68" s="6"/>
      <c r="L68" s="6"/>
      <c r="M68" s="6"/>
      <c r="N68" s="6"/>
    </row>
    <row r="69" spans="2:14" x14ac:dyDescent="0.35">
      <c r="B69" s="10" t="s">
        <v>136</v>
      </c>
      <c r="G69" s="10"/>
      <c r="H69" s="6"/>
      <c r="I69" s="52"/>
      <c r="J69" s="6"/>
      <c r="K69" s="6"/>
      <c r="L69" s="6"/>
      <c r="M69" s="6"/>
      <c r="N69" s="6"/>
    </row>
    <row r="70" spans="2:14" x14ac:dyDescent="0.35">
      <c r="B70" s="10" t="s">
        <v>403</v>
      </c>
      <c r="C70" s="3" t="s">
        <v>404</v>
      </c>
      <c r="G70" s="10"/>
      <c r="H70" s="6"/>
      <c r="I70" s="6"/>
      <c r="J70" s="6"/>
      <c r="K70" s="6"/>
      <c r="L70" s="6"/>
      <c r="M70" s="6"/>
      <c r="N70" s="6"/>
    </row>
    <row r="71" spans="2:14" x14ac:dyDescent="0.35">
      <c r="B71" s="4" t="s">
        <v>252</v>
      </c>
      <c r="C71" s="151">
        <f>C66 + C68</f>
        <v>38.489583333333336</v>
      </c>
      <c r="D71" s="3" t="s">
        <v>158</v>
      </c>
      <c r="H71" s="6"/>
      <c r="I71" s="6"/>
      <c r="J71" s="6"/>
      <c r="K71" s="6"/>
      <c r="L71" s="6"/>
      <c r="M71" s="6"/>
      <c r="N71" s="6"/>
    </row>
    <row r="72" spans="2:14" x14ac:dyDescent="0.35">
      <c r="B72" s="4" t="s">
        <v>407</v>
      </c>
      <c r="C72" s="5" t="s">
        <v>408</v>
      </c>
      <c r="H72" s="6"/>
      <c r="I72" s="6"/>
      <c r="J72" s="6"/>
      <c r="K72" s="6"/>
      <c r="L72" s="6"/>
      <c r="M72" s="6"/>
      <c r="N72" s="6"/>
    </row>
    <row r="73" spans="2:14" x14ac:dyDescent="0.35">
      <c r="B73" s="4" t="s">
        <v>318</v>
      </c>
      <c r="C73" s="70">
        <f>((C61/2)^2+(C62/2)^2)^0.5</f>
        <v>2.5</v>
      </c>
      <c r="G73" s="6"/>
      <c r="H73" s="6"/>
      <c r="I73" s="6"/>
      <c r="J73" s="6"/>
      <c r="K73" s="6"/>
      <c r="L73" s="6"/>
      <c r="M73" s="6"/>
      <c r="N73" s="6"/>
    </row>
    <row r="74" spans="2:14" x14ac:dyDescent="0.35">
      <c r="B74" s="4" t="s">
        <v>409</v>
      </c>
      <c r="C74" s="5" t="s">
        <v>405</v>
      </c>
      <c r="G74" s="6"/>
      <c r="H74" s="6"/>
      <c r="I74" s="6"/>
      <c r="J74" s="6"/>
      <c r="K74" s="6"/>
      <c r="L74" s="6"/>
      <c r="M74" s="6"/>
      <c r="N74" s="6"/>
    </row>
    <row r="75" spans="2:14" x14ac:dyDescent="0.35">
      <c r="B75" s="26" t="s">
        <v>91</v>
      </c>
      <c r="C75" s="159">
        <f>C59* C73 / C71</f>
        <v>259.81055480378888</v>
      </c>
      <c r="D75" s="8" t="s">
        <v>21</v>
      </c>
      <c r="G75" s="6"/>
      <c r="H75" s="6"/>
      <c r="I75" s="6"/>
      <c r="J75" s="6"/>
      <c r="K75" s="6"/>
      <c r="L75" s="6"/>
      <c r="M75" s="6"/>
      <c r="N75" s="6"/>
    </row>
    <row r="76" spans="2:14" x14ac:dyDescent="0.35">
      <c r="G76" s="6"/>
      <c r="H76" s="6"/>
      <c r="I76" s="6"/>
      <c r="J76" s="6"/>
      <c r="K76" s="6"/>
      <c r="L76" s="6"/>
      <c r="M76" s="6"/>
      <c r="N76" s="6"/>
    </row>
    <row r="77" spans="2:14" x14ac:dyDescent="0.35">
      <c r="G77" s="6"/>
      <c r="H77" s="6"/>
      <c r="I77" s="6"/>
      <c r="J77" s="6"/>
      <c r="K77" s="6"/>
      <c r="L77" s="6"/>
      <c r="M77" s="6"/>
      <c r="N77" s="6"/>
    </row>
    <row r="78" spans="2:14" x14ac:dyDescent="0.35">
      <c r="G78" s="6"/>
      <c r="H78" s="6"/>
      <c r="I78" s="6"/>
      <c r="J78" s="6"/>
      <c r="K78" s="6"/>
      <c r="L78" s="6"/>
      <c r="M78" s="6"/>
      <c r="N78" s="6"/>
    </row>
    <row r="79" spans="2:14" x14ac:dyDescent="0.35">
      <c r="B79" s="10"/>
      <c r="G79" s="6"/>
      <c r="H79" s="6"/>
      <c r="I79" s="6"/>
      <c r="J79" s="6"/>
      <c r="K79" s="6"/>
      <c r="L79" s="6"/>
      <c r="M79" s="6"/>
      <c r="N79" s="6"/>
    </row>
    <row r="80" spans="2:14" x14ac:dyDescent="0.35">
      <c r="B80" s="2" t="s">
        <v>135</v>
      </c>
      <c r="G80" s="6"/>
      <c r="H80" s="6"/>
      <c r="I80" s="6"/>
      <c r="J80" s="6"/>
      <c r="K80" s="6"/>
      <c r="L80" s="6"/>
      <c r="M80" s="6"/>
      <c r="N80" s="6"/>
    </row>
    <row r="81" spans="2:14" x14ac:dyDescent="0.35">
      <c r="B81" s="10" t="s">
        <v>137</v>
      </c>
      <c r="G81" s="6"/>
      <c r="H81" s="6"/>
      <c r="I81" s="6"/>
      <c r="J81" s="6"/>
      <c r="K81" s="6"/>
      <c r="L81" s="6"/>
      <c r="M81" s="6"/>
      <c r="N81" s="6"/>
    </row>
    <row r="82" spans="2:14" x14ac:dyDescent="0.35">
      <c r="B82" s="10" t="s">
        <v>138</v>
      </c>
      <c r="G82" s="6"/>
      <c r="H82" s="6"/>
      <c r="I82" s="6"/>
      <c r="J82" s="6"/>
      <c r="K82" s="6"/>
      <c r="L82" s="6"/>
      <c r="M82" s="6"/>
      <c r="N82" s="6"/>
    </row>
    <row r="83" spans="2:14" x14ac:dyDescent="0.35">
      <c r="B83" s="10"/>
      <c r="G83" s="6"/>
      <c r="H83" s="6"/>
      <c r="I83" s="6"/>
      <c r="J83" s="6"/>
      <c r="K83" s="6"/>
      <c r="L83" s="6"/>
      <c r="M83" s="6"/>
      <c r="N83" s="6"/>
    </row>
    <row r="84" spans="2:14" x14ac:dyDescent="0.35">
      <c r="B84" s="10" t="s">
        <v>512</v>
      </c>
      <c r="G84" s="6"/>
      <c r="H84" s="6"/>
      <c r="I84" s="6"/>
      <c r="J84" s="6"/>
      <c r="K84" s="6"/>
      <c r="L84" s="6"/>
      <c r="M84" s="6"/>
      <c r="N84" s="6"/>
    </row>
    <row r="85" spans="2:14" x14ac:dyDescent="0.35">
      <c r="B85" s="10" t="s">
        <v>194</v>
      </c>
      <c r="G85" s="6"/>
      <c r="H85" s="6"/>
      <c r="I85" s="6"/>
      <c r="J85" s="6"/>
      <c r="K85" s="6"/>
      <c r="L85" s="6"/>
      <c r="M85" s="6"/>
      <c r="N85" s="6"/>
    </row>
    <row r="86" spans="2:14" x14ac:dyDescent="0.35">
      <c r="B86" s="10"/>
      <c r="G86" s="6"/>
      <c r="H86" s="6"/>
      <c r="I86" s="6"/>
      <c r="J86" s="6"/>
      <c r="K86" s="6"/>
      <c r="L86" s="6"/>
      <c r="M86" s="6"/>
      <c r="N86" s="6"/>
    </row>
    <row r="87" spans="2:14" x14ac:dyDescent="0.35">
      <c r="B87" s="10" t="s">
        <v>139</v>
      </c>
      <c r="G87" s="6"/>
      <c r="H87" s="6"/>
      <c r="I87" s="6"/>
      <c r="J87" s="6"/>
      <c r="K87" s="6"/>
      <c r="L87" s="6"/>
      <c r="M87" s="6"/>
      <c r="N87" s="6"/>
    </row>
    <row r="88" spans="2:14" x14ac:dyDescent="0.35">
      <c r="B88" s="10" t="s">
        <v>195</v>
      </c>
      <c r="G88" s="6"/>
      <c r="H88" s="6"/>
      <c r="I88" s="6"/>
      <c r="J88" s="6"/>
      <c r="K88" s="6"/>
      <c r="L88" s="6"/>
      <c r="M88" s="6"/>
      <c r="N88" s="6"/>
    </row>
    <row r="89" spans="2:14" x14ac:dyDescent="0.35">
      <c r="B89" s="10"/>
      <c r="G89" s="6"/>
      <c r="H89" s="6"/>
      <c r="I89" s="6"/>
      <c r="J89" s="6"/>
      <c r="K89" s="6"/>
      <c r="L89" s="6"/>
      <c r="M89" s="6"/>
      <c r="N89" s="6"/>
    </row>
    <row r="90" spans="2:14" x14ac:dyDescent="0.35">
      <c r="B90" s="45" t="s">
        <v>140</v>
      </c>
      <c r="G90" s="6"/>
      <c r="H90" s="6"/>
      <c r="I90" s="6"/>
      <c r="J90" s="6"/>
      <c r="K90" s="6"/>
      <c r="L90" s="6"/>
      <c r="M90" s="6"/>
      <c r="N90" s="6"/>
    </row>
    <row r="91" spans="2:14" x14ac:dyDescent="0.35">
      <c r="B91" s="10" t="s">
        <v>141</v>
      </c>
      <c r="G91" s="6"/>
      <c r="H91" s="6"/>
      <c r="I91" s="6"/>
      <c r="J91" s="6"/>
      <c r="K91" s="6"/>
      <c r="L91" s="6"/>
      <c r="M91" s="6"/>
      <c r="N91" s="6"/>
    </row>
    <row r="92" spans="2:14" x14ac:dyDescent="0.35">
      <c r="B92" s="10" t="s">
        <v>215</v>
      </c>
      <c r="G92" s="6"/>
      <c r="H92" s="6"/>
      <c r="I92" s="6"/>
      <c r="J92" s="6"/>
      <c r="K92" s="6"/>
      <c r="L92" s="6"/>
      <c r="M92" s="6"/>
      <c r="N92" s="6"/>
    </row>
    <row r="93" spans="2:14" x14ac:dyDescent="0.35">
      <c r="B93" s="45" t="s">
        <v>196</v>
      </c>
      <c r="G93" s="6"/>
      <c r="H93" s="6"/>
      <c r="I93" s="6"/>
      <c r="J93" s="6"/>
      <c r="K93" s="6"/>
      <c r="L93" s="6"/>
      <c r="M93" s="6"/>
      <c r="N93" s="6"/>
    </row>
    <row r="94" spans="2:14" x14ac:dyDescent="0.35">
      <c r="B94" s="45"/>
      <c r="G94" s="6"/>
      <c r="H94" s="6"/>
      <c r="I94" s="6"/>
      <c r="J94" s="6"/>
      <c r="K94" s="6"/>
      <c r="L94" s="6"/>
      <c r="M94" s="6"/>
      <c r="N94" s="6"/>
    </row>
    <row r="95" spans="2:14" x14ac:dyDescent="0.35">
      <c r="B95" s="10" t="s">
        <v>144</v>
      </c>
      <c r="G95" s="6"/>
      <c r="H95" s="6"/>
      <c r="I95" s="6"/>
      <c r="J95" s="6"/>
      <c r="K95" s="6"/>
      <c r="L95" s="6"/>
      <c r="M95" s="6"/>
      <c r="N95" s="6"/>
    </row>
    <row r="96" spans="2:14" x14ac:dyDescent="0.35">
      <c r="B96" s="3" t="s">
        <v>192</v>
      </c>
      <c r="G96" s="6"/>
      <c r="H96" s="6"/>
      <c r="I96" s="6"/>
      <c r="J96" s="6"/>
      <c r="K96" s="6"/>
      <c r="L96" s="6"/>
      <c r="M96" s="6"/>
      <c r="N96" s="6"/>
    </row>
    <row r="97" spans="2:14" x14ac:dyDescent="0.35">
      <c r="B97" s="3" t="s">
        <v>145</v>
      </c>
      <c r="G97" s="6"/>
      <c r="H97" s="6"/>
      <c r="I97" s="6"/>
      <c r="J97" s="6"/>
      <c r="K97" s="6"/>
      <c r="L97" s="6"/>
      <c r="M97" s="6"/>
      <c r="N97" s="6"/>
    </row>
    <row r="98" spans="2:14" x14ac:dyDescent="0.35">
      <c r="B98" s="10" t="s">
        <v>197</v>
      </c>
      <c r="G98" s="6"/>
      <c r="H98" s="6"/>
      <c r="I98" s="6"/>
      <c r="J98" s="6"/>
      <c r="K98" s="6"/>
      <c r="L98" s="6"/>
      <c r="M98" s="6"/>
      <c r="N98" s="6"/>
    </row>
    <row r="99" spans="2:14" x14ac:dyDescent="0.35">
      <c r="B99" s="45" t="s">
        <v>142</v>
      </c>
      <c r="G99" s="6"/>
      <c r="H99" s="6"/>
      <c r="I99" s="6"/>
      <c r="J99" s="6"/>
      <c r="K99" s="6"/>
      <c r="L99" s="6"/>
      <c r="M99" s="6"/>
      <c r="N99" s="6"/>
    </row>
    <row r="100" spans="2:14" x14ac:dyDescent="0.35">
      <c r="B100" s="45" t="s">
        <v>193</v>
      </c>
      <c r="G100" s="6"/>
      <c r="H100" s="6"/>
      <c r="I100" s="6"/>
      <c r="J100" s="6"/>
      <c r="K100" s="6"/>
      <c r="L100" s="6"/>
      <c r="M100" s="6"/>
      <c r="N100" s="6"/>
    </row>
    <row r="101" spans="2:14" x14ac:dyDescent="0.35">
      <c r="B101" s="10" t="s">
        <v>198</v>
      </c>
      <c r="G101" s="6"/>
      <c r="H101" s="6"/>
      <c r="I101" s="6"/>
      <c r="J101" s="6"/>
      <c r="K101" s="6"/>
      <c r="L101" s="6"/>
      <c r="M101" s="6"/>
      <c r="N101" s="6"/>
    </row>
    <row r="102" spans="2:14" x14ac:dyDescent="0.35">
      <c r="B102" s="10" t="s">
        <v>199</v>
      </c>
      <c r="F102" s="27"/>
      <c r="G102" s="6"/>
      <c r="H102" s="6"/>
      <c r="I102" s="6"/>
      <c r="J102" s="6"/>
      <c r="K102" s="6"/>
      <c r="L102" s="6"/>
      <c r="M102" s="6"/>
      <c r="N102" s="6"/>
    </row>
    <row r="103" spans="2:14" x14ac:dyDescent="0.35">
      <c r="G103" s="6"/>
      <c r="H103" s="6"/>
      <c r="I103" s="6"/>
      <c r="J103" s="6"/>
      <c r="K103" s="6"/>
      <c r="L103" s="6"/>
      <c r="M103" s="6"/>
      <c r="N103" s="6"/>
    </row>
    <row r="104" spans="2:14" ht="16" thickBot="1" x14ac:dyDescent="0.4">
      <c r="B104" s="44" t="s">
        <v>174</v>
      </c>
      <c r="C104" s="14" t="s">
        <v>7</v>
      </c>
      <c r="D104" s="4"/>
      <c r="G104" s="78"/>
      <c r="H104" s="37"/>
      <c r="I104" s="37"/>
      <c r="J104" s="37"/>
      <c r="K104" s="6"/>
      <c r="L104" s="6"/>
      <c r="M104" s="6"/>
      <c r="N104" s="6"/>
    </row>
    <row r="105" spans="2:14" x14ac:dyDescent="0.35">
      <c r="B105" s="4" t="s">
        <v>147</v>
      </c>
      <c r="C105" s="149">
        <v>3000</v>
      </c>
      <c r="D105" s="3" t="s">
        <v>15</v>
      </c>
      <c r="E105" s="39"/>
      <c r="F105" s="39"/>
      <c r="G105" s="39"/>
      <c r="H105" s="155"/>
      <c r="I105" s="155"/>
      <c r="J105" s="78"/>
      <c r="K105" s="6"/>
      <c r="L105" s="6"/>
      <c r="M105" s="6"/>
      <c r="N105" s="6"/>
    </row>
    <row r="106" spans="2:14" x14ac:dyDescent="0.35">
      <c r="B106" s="4" t="s">
        <v>150</v>
      </c>
      <c r="C106" s="19">
        <v>6</v>
      </c>
      <c r="D106" s="10" t="s">
        <v>11</v>
      </c>
      <c r="E106" s="39"/>
      <c r="F106" s="39"/>
      <c r="G106" s="39"/>
      <c r="H106" s="38"/>
      <c r="I106" s="38"/>
      <c r="J106" s="78"/>
      <c r="K106" s="6"/>
      <c r="L106" s="6"/>
      <c r="M106" s="6"/>
      <c r="N106" s="6"/>
    </row>
    <row r="107" spans="2:14" x14ac:dyDescent="0.35">
      <c r="B107" s="4" t="s">
        <v>148</v>
      </c>
      <c r="C107" s="19">
        <v>2</v>
      </c>
      <c r="D107" s="3" t="s">
        <v>11</v>
      </c>
      <c r="E107" s="39"/>
      <c r="F107" s="39"/>
      <c r="G107" s="39"/>
      <c r="H107" s="38"/>
      <c r="I107" s="38"/>
      <c r="J107" s="78"/>
      <c r="K107" s="6"/>
      <c r="L107" s="6"/>
      <c r="M107" s="6"/>
      <c r="N107" s="6"/>
    </row>
    <row r="108" spans="2:14" x14ac:dyDescent="0.35">
      <c r="B108" s="4" t="s">
        <v>149</v>
      </c>
      <c r="C108" s="19">
        <v>3</v>
      </c>
      <c r="D108" s="3" t="s">
        <v>11</v>
      </c>
      <c r="E108" s="39"/>
      <c r="F108" s="39"/>
      <c r="G108" s="39"/>
      <c r="H108" s="38"/>
      <c r="I108" s="38"/>
      <c r="J108" s="78"/>
      <c r="K108" s="6"/>
      <c r="L108" s="6"/>
      <c r="M108" s="6"/>
      <c r="N108" s="6"/>
    </row>
    <row r="109" spans="2:14" ht="16" thickBot="1" x14ac:dyDescent="0.4">
      <c r="B109" s="4" t="s">
        <v>151</v>
      </c>
      <c r="C109" s="156">
        <v>0.75</v>
      </c>
      <c r="D109" s="10" t="s">
        <v>11</v>
      </c>
      <c r="E109" s="74"/>
      <c r="F109" s="39"/>
      <c r="G109" s="39"/>
      <c r="H109" s="40"/>
      <c r="I109" s="40"/>
      <c r="J109" s="78"/>
      <c r="K109" s="6"/>
      <c r="L109" s="6"/>
      <c r="M109" s="6"/>
      <c r="N109" s="6"/>
    </row>
    <row r="110" spans="2:14" x14ac:dyDescent="0.35">
      <c r="C110" s="14" t="s">
        <v>89</v>
      </c>
      <c r="D110" s="4"/>
      <c r="G110" s="37"/>
      <c r="H110" s="37"/>
      <c r="I110" s="37"/>
      <c r="J110" s="37"/>
      <c r="K110" s="6"/>
      <c r="L110" s="6"/>
      <c r="M110" s="6"/>
      <c r="N110" s="6"/>
    </row>
    <row r="111" spans="2:14" x14ac:dyDescent="0.35">
      <c r="B111" s="4" t="s">
        <v>146</v>
      </c>
      <c r="C111" s="73" t="s">
        <v>152</v>
      </c>
      <c r="G111" s="37"/>
      <c r="H111" s="37"/>
      <c r="I111" s="37"/>
      <c r="J111" s="37"/>
      <c r="K111" s="6"/>
      <c r="L111" s="6"/>
      <c r="M111" s="6"/>
      <c r="N111" s="6"/>
    </row>
    <row r="112" spans="2:14" x14ac:dyDescent="0.35">
      <c r="B112" s="4" t="s">
        <v>153</v>
      </c>
      <c r="C112" s="73">
        <f>C105 * C106</f>
        <v>18000</v>
      </c>
      <c r="D112" s="10" t="s">
        <v>182</v>
      </c>
      <c r="G112" s="37"/>
      <c r="H112" s="37"/>
      <c r="I112" s="155"/>
      <c r="J112" s="37"/>
      <c r="K112" s="6"/>
      <c r="L112" s="6"/>
      <c r="M112" s="6"/>
      <c r="N112" s="6"/>
    </row>
    <row r="113" spans="2:14" x14ac:dyDescent="0.35">
      <c r="B113" s="4" t="s">
        <v>155</v>
      </c>
      <c r="G113" s="37"/>
      <c r="H113" s="37"/>
      <c r="I113" s="38"/>
      <c r="J113" s="37"/>
      <c r="K113" s="6"/>
      <c r="L113" s="6"/>
      <c r="M113" s="6"/>
      <c r="N113" s="6"/>
    </row>
    <row r="114" spans="2:14" x14ac:dyDescent="0.35">
      <c r="B114" s="4" t="s">
        <v>156</v>
      </c>
      <c r="C114" s="5" t="s">
        <v>432</v>
      </c>
      <c r="G114" s="37"/>
      <c r="H114" s="37"/>
      <c r="I114" s="38"/>
      <c r="J114" s="37"/>
      <c r="K114" s="6"/>
      <c r="L114" s="6"/>
      <c r="M114" s="6"/>
      <c r="N114" s="6"/>
    </row>
    <row r="115" spans="2:14" x14ac:dyDescent="0.35">
      <c r="B115" s="4" t="s">
        <v>156</v>
      </c>
      <c r="C115" s="151">
        <f>2 * C109 * C108^3 / 12</f>
        <v>3.375</v>
      </c>
      <c r="D115" s="3" t="s">
        <v>158</v>
      </c>
      <c r="G115" s="37"/>
      <c r="H115" s="37"/>
      <c r="I115" s="38"/>
      <c r="J115" s="37"/>
      <c r="K115" s="6"/>
      <c r="L115" s="6"/>
      <c r="M115" s="6"/>
      <c r="N115" s="6"/>
    </row>
    <row r="116" spans="2:14" x14ac:dyDescent="0.35">
      <c r="B116" s="4" t="s">
        <v>154</v>
      </c>
      <c r="C116" s="5"/>
      <c r="F116" s="4"/>
      <c r="G116" s="5"/>
      <c r="H116" s="37"/>
      <c r="I116" s="40"/>
      <c r="J116" s="37"/>
      <c r="K116" s="6"/>
      <c r="L116" s="6"/>
      <c r="M116" s="6"/>
      <c r="N116" s="6"/>
    </row>
    <row r="117" spans="2:14" x14ac:dyDescent="0.35">
      <c r="B117" s="4" t="s">
        <v>157</v>
      </c>
      <c r="C117" s="5" t="s">
        <v>109</v>
      </c>
      <c r="G117" s="6"/>
      <c r="H117" s="6"/>
      <c r="I117" s="6"/>
      <c r="J117" s="6"/>
      <c r="K117" s="6"/>
      <c r="L117" s="6"/>
      <c r="M117" s="6"/>
      <c r="N117" s="6"/>
    </row>
    <row r="118" spans="2:14" x14ac:dyDescent="0.35">
      <c r="B118" s="4" t="s">
        <v>157</v>
      </c>
      <c r="C118" s="151">
        <f>2 * C109 * C107 * (C108 / 2)^2</f>
        <v>6.75</v>
      </c>
      <c r="D118" s="3" t="s">
        <v>158</v>
      </c>
      <c r="G118" s="6"/>
      <c r="H118" s="6"/>
      <c r="I118" s="6"/>
      <c r="J118" s="6"/>
      <c r="K118" s="6"/>
      <c r="L118" s="6"/>
      <c r="M118" s="6"/>
      <c r="N118" s="6"/>
    </row>
    <row r="119" spans="2:14" x14ac:dyDescent="0.35">
      <c r="B119" s="4" t="s">
        <v>159</v>
      </c>
      <c r="C119" s="58" t="s">
        <v>433</v>
      </c>
      <c r="F119" s="4"/>
      <c r="H119" s="6"/>
      <c r="I119" s="6"/>
      <c r="J119" s="6"/>
      <c r="K119" s="6"/>
      <c r="L119" s="6"/>
      <c r="M119" s="6"/>
      <c r="N119" s="6"/>
    </row>
    <row r="120" spans="2:14" x14ac:dyDescent="0.35">
      <c r="B120" s="4" t="s">
        <v>143</v>
      </c>
      <c r="C120" s="58">
        <f>C112 * (C108/2) / C118</f>
        <v>4000</v>
      </c>
      <c r="D120" s="3" t="s">
        <v>160</v>
      </c>
      <c r="F120" s="4"/>
      <c r="H120" s="6"/>
      <c r="I120" s="6"/>
      <c r="J120" s="6"/>
      <c r="K120" s="6"/>
      <c r="L120" s="6"/>
      <c r="M120" s="6"/>
      <c r="N120" s="6"/>
    </row>
    <row r="121" spans="2:14" x14ac:dyDescent="0.35">
      <c r="B121" s="4" t="s">
        <v>161</v>
      </c>
      <c r="C121" s="5" t="s">
        <v>163</v>
      </c>
      <c r="F121" s="4"/>
      <c r="G121" s="59"/>
      <c r="H121" s="6"/>
      <c r="I121" s="6"/>
      <c r="J121" s="6"/>
      <c r="K121" s="6"/>
      <c r="L121" s="6"/>
      <c r="M121" s="6"/>
      <c r="N121" s="6"/>
    </row>
    <row r="122" spans="2:14" x14ac:dyDescent="0.35">
      <c r="B122" s="4" t="s">
        <v>162</v>
      </c>
      <c r="C122" s="5">
        <f>C109*( 2 * C108 ) + ( 2 * C107 )</f>
        <v>8.5</v>
      </c>
      <c r="D122" s="3" t="s">
        <v>164</v>
      </c>
      <c r="F122" s="4"/>
      <c r="G122" s="59"/>
      <c r="H122" s="6"/>
      <c r="I122" s="6"/>
      <c r="J122" s="6"/>
      <c r="K122" s="6"/>
      <c r="L122" s="6"/>
      <c r="M122" s="6"/>
      <c r="N122" s="6"/>
    </row>
    <row r="123" spans="2:14" x14ac:dyDescent="0.35">
      <c r="B123" s="4" t="s">
        <v>165</v>
      </c>
      <c r="C123" s="5" t="s">
        <v>166</v>
      </c>
      <c r="G123" s="6"/>
      <c r="H123" s="6"/>
      <c r="I123" s="6"/>
      <c r="J123" s="6"/>
      <c r="K123" s="6"/>
      <c r="L123" s="6"/>
      <c r="M123" s="6"/>
      <c r="N123" s="6"/>
    </row>
    <row r="124" spans="2:14" x14ac:dyDescent="0.35">
      <c r="B124" s="4" t="s">
        <v>50</v>
      </c>
      <c r="C124" s="157">
        <f>C105 / C122</f>
        <v>352.94117647058823</v>
      </c>
      <c r="D124" s="3" t="s">
        <v>160</v>
      </c>
      <c r="G124" s="6"/>
      <c r="H124" s="6"/>
      <c r="I124" s="6"/>
      <c r="J124" s="6"/>
      <c r="K124" s="6"/>
      <c r="L124" s="6"/>
      <c r="M124" s="6"/>
      <c r="N124" s="6"/>
    </row>
    <row r="125" spans="2:14" ht="16" thickBot="1" x14ac:dyDescent="0.4">
      <c r="B125" s="4" t="s">
        <v>167</v>
      </c>
      <c r="C125" s="5" t="s">
        <v>168</v>
      </c>
      <c r="G125" s="6"/>
      <c r="H125" s="6"/>
      <c r="I125" s="6"/>
      <c r="J125" s="6"/>
      <c r="K125" s="6"/>
      <c r="L125" s="6"/>
      <c r="M125" s="6"/>
      <c r="N125" s="6"/>
    </row>
    <row r="126" spans="2:14" ht="16" thickBot="1" x14ac:dyDescent="0.4">
      <c r="B126" s="26" t="s">
        <v>169</v>
      </c>
      <c r="C126" s="33">
        <f>(C120^ 2 + C124^2 )^0.5</f>
        <v>4015.540744912003</v>
      </c>
      <c r="D126" s="8" t="s">
        <v>160</v>
      </c>
      <c r="G126" s="6"/>
      <c r="H126" s="6"/>
      <c r="I126" s="6"/>
      <c r="J126" s="6"/>
      <c r="K126" s="6"/>
      <c r="L126" s="6"/>
      <c r="M126" s="6"/>
      <c r="N126" s="6"/>
    </row>
    <row r="127" spans="2:14" ht="16" thickBot="1" x14ac:dyDescent="0.4">
      <c r="B127" s="4" t="s">
        <v>173</v>
      </c>
      <c r="C127" s="5" t="s">
        <v>170</v>
      </c>
      <c r="G127" s="6"/>
      <c r="H127" s="6"/>
      <c r="I127" s="6"/>
      <c r="J127" s="6"/>
      <c r="K127" s="6"/>
      <c r="L127" s="6"/>
      <c r="M127" s="6"/>
      <c r="N127" s="6"/>
    </row>
    <row r="128" spans="2:14" ht="16" thickBot="1" x14ac:dyDescent="0.4">
      <c r="B128" s="26" t="s">
        <v>172</v>
      </c>
      <c r="C128" s="33">
        <f>C126 * C109</f>
        <v>3011.6555586840022</v>
      </c>
      <c r="D128" s="8" t="s">
        <v>171</v>
      </c>
      <c r="G128" s="6"/>
      <c r="H128" s="6"/>
      <c r="I128" s="6"/>
      <c r="J128" s="6"/>
      <c r="K128" s="6"/>
      <c r="L128" s="6"/>
      <c r="M128" s="6"/>
      <c r="N128" s="6"/>
    </row>
    <row r="129" spans="2:14" x14ac:dyDescent="0.35">
      <c r="G129" s="6"/>
      <c r="H129" s="6"/>
      <c r="I129" s="6"/>
      <c r="J129" s="6"/>
      <c r="K129" s="6"/>
      <c r="L129" s="6"/>
      <c r="M129" s="6"/>
      <c r="N129" s="6"/>
    </row>
    <row r="130" spans="2:14" x14ac:dyDescent="0.35">
      <c r="G130" s="6"/>
      <c r="H130" s="6"/>
      <c r="I130" s="6"/>
      <c r="J130" s="6"/>
      <c r="K130" s="6"/>
      <c r="L130" s="6"/>
      <c r="M130" s="6"/>
      <c r="N130" s="6"/>
    </row>
    <row r="131" spans="2:14" x14ac:dyDescent="0.35">
      <c r="B131" s="44" t="s">
        <v>175</v>
      </c>
      <c r="C131" s="14" t="s">
        <v>89</v>
      </c>
      <c r="D131" s="4"/>
      <c r="F131" s="3" t="s">
        <v>22</v>
      </c>
      <c r="G131" s="6"/>
      <c r="H131" s="6"/>
      <c r="I131" s="6"/>
      <c r="J131" s="6"/>
      <c r="K131" s="6"/>
      <c r="L131" s="6"/>
      <c r="M131" s="6"/>
      <c r="N131" s="6"/>
    </row>
    <row r="132" spans="2:14" x14ac:dyDescent="0.35">
      <c r="B132" s="4" t="s">
        <v>366</v>
      </c>
      <c r="C132" s="157">
        <f>C105</f>
        <v>3000</v>
      </c>
      <c r="D132" s="3" t="s">
        <v>15</v>
      </c>
      <c r="G132" s="6"/>
      <c r="H132" s="6"/>
      <c r="I132" s="6"/>
      <c r="J132" s="6"/>
      <c r="K132" s="6"/>
      <c r="L132" s="6"/>
      <c r="M132" s="6"/>
      <c r="N132" s="6"/>
    </row>
    <row r="133" spans="2:14" x14ac:dyDescent="0.35">
      <c r="B133" s="4" t="s">
        <v>181</v>
      </c>
      <c r="C133" s="73">
        <f>C112</f>
        <v>18000</v>
      </c>
      <c r="D133" s="10" t="s">
        <v>182</v>
      </c>
      <c r="G133" s="6"/>
      <c r="H133" s="6"/>
      <c r="I133" s="6"/>
      <c r="J133" s="6"/>
      <c r="K133" s="6"/>
      <c r="L133" s="6"/>
      <c r="M133" s="6"/>
      <c r="N133" s="6"/>
    </row>
    <row r="134" spans="2:14" x14ac:dyDescent="0.35">
      <c r="B134" s="4" t="s">
        <v>178</v>
      </c>
      <c r="C134" s="5" t="s">
        <v>176</v>
      </c>
      <c r="G134" s="6"/>
      <c r="H134" s="6"/>
      <c r="I134" s="6"/>
      <c r="J134" s="6"/>
      <c r="K134" s="6"/>
      <c r="L134" s="6"/>
      <c r="M134" s="6"/>
      <c r="N134" s="6"/>
    </row>
    <row r="135" spans="2:14" x14ac:dyDescent="0.35">
      <c r="B135" s="4" t="s">
        <v>179</v>
      </c>
      <c r="C135" s="151">
        <f>C107 * C108^3 / 12</f>
        <v>4.5</v>
      </c>
      <c r="D135" s="3" t="s">
        <v>158</v>
      </c>
      <c r="G135" s="6"/>
      <c r="H135" s="6"/>
      <c r="I135" s="6"/>
      <c r="J135" s="6"/>
      <c r="K135" s="6"/>
      <c r="L135" s="6"/>
      <c r="M135" s="6"/>
      <c r="N135" s="6"/>
    </row>
    <row r="136" spans="2:14" ht="16" thickBot="1" x14ac:dyDescent="0.4">
      <c r="B136" s="4" t="s">
        <v>177</v>
      </c>
      <c r="C136" s="5" t="s">
        <v>180</v>
      </c>
      <c r="G136" s="6"/>
      <c r="H136" s="6"/>
      <c r="I136" s="6"/>
      <c r="J136" s="6"/>
      <c r="K136" s="6"/>
      <c r="L136" s="6"/>
      <c r="M136" s="6"/>
      <c r="N136" s="6"/>
    </row>
    <row r="137" spans="2:14" ht="16" thickBot="1" x14ac:dyDescent="0.4">
      <c r="B137" s="4" t="s">
        <v>513</v>
      </c>
      <c r="C137" s="33">
        <f>C133 * (C108/2) / C135</f>
        <v>6000</v>
      </c>
      <c r="D137" s="8" t="s">
        <v>160</v>
      </c>
      <c r="G137" s="6"/>
      <c r="H137" s="6"/>
      <c r="I137" s="6"/>
      <c r="J137" s="6"/>
      <c r="K137" s="6"/>
      <c r="L137" s="6"/>
      <c r="M137" s="6"/>
      <c r="N137" s="6"/>
    </row>
    <row r="138" spans="2:14" ht="16" thickBot="1" x14ac:dyDescent="0.4">
      <c r="B138" s="4" t="s">
        <v>183</v>
      </c>
      <c r="C138" s="157" t="s">
        <v>184</v>
      </c>
      <c r="D138" s="2"/>
      <c r="G138" s="6"/>
      <c r="H138" s="6"/>
      <c r="I138" s="6"/>
      <c r="J138" s="6"/>
      <c r="K138" s="6"/>
      <c r="L138" s="6"/>
      <c r="M138" s="6"/>
      <c r="N138" s="6"/>
    </row>
    <row r="139" spans="2:14" ht="16" thickBot="1" x14ac:dyDescent="0.4">
      <c r="B139" s="4" t="s">
        <v>514</v>
      </c>
      <c r="C139" s="33">
        <f>1.5 * C132 / ( C107 * C108 )</f>
        <v>750</v>
      </c>
      <c r="D139" s="8" t="s">
        <v>160</v>
      </c>
      <c r="G139" s="6"/>
      <c r="H139" s="6"/>
      <c r="I139" s="6"/>
      <c r="J139" s="6"/>
      <c r="K139" s="6"/>
      <c r="L139" s="6"/>
      <c r="M139" s="6"/>
      <c r="N139" s="6"/>
    </row>
    <row r="140" spans="2:14" x14ac:dyDescent="0.35">
      <c r="G140" s="6"/>
      <c r="H140" s="6"/>
      <c r="I140" s="6"/>
      <c r="J140" s="6"/>
      <c r="K140" s="6"/>
      <c r="L140" s="6"/>
      <c r="M140" s="6"/>
      <c r="N140" s="6"/>
    </row>
    <row r="141" spans="2:14" x14ac:dyDescent="0.35">
      <c r="G141" s="6"/>
      <c r="H141" s="6"/>
      <c r="I141" s="6"/>
      <c r="J141" s="6"/>
      <c r="K141" s="6"/>
      <c r="L141" s="6"/>
      <c r="M141" s="6"/>
      <c r="N141" s="6"/>
    </row>
    <row r="142" spans="2:14" x14ac:dyDescent="0.35">
      <c r="B142" s="2" t="s">
        <v>185</v>
      </c>
      <c r="G142" s="6"/>
      <c r="H142" s="6"/>
      <c r="I142" s="6"/>
      <c r="J142" s="6"/>
      <c r="K142" s="6"/>
      <c r="L142" s="6"/>
      <c r="M142" s="6"/>
      <c r="N142" s="6"/>
    </row>
    <row r="143" spans="2:14" x14ac:dyDescent="0.35">
      <c r="B143" s="10" t="s">
        <v>188</v>
      </c>
      <c r="G143" s="6"/>
      <c r="H143" s="6"/>
      <c r="I143" s="6"/>
      <c r="J143" s="6"/>
      <c r="K143" s="6"/>
      <c r="L143" s="6"/>
      <c r="M143" s="6"/>
      <c r="N143" s="6"/>
    </row>
    <row r="144" spans="2:14" x14ac:dyDescent="0.35">
      <c r="B144" s="10" t="s">
        <v>187</v>
      </c>
      <c r="G144" s="6"/>
      <c r="H144" s="6"/>
      <c r="I144" s="6"/>
      <c r="J144" s="6"/>
      <c r="K144" s="6"/>
      <c r="L144" s="6"/>
      <c r="M144" s="6"/>
      <c r="N144" s="6"/>
    </row>
    <row r="145" spans="2:14" x14ac:dyDescent="0.35">
      <c r="B145" s="10" t="s">
        <v>190</v>
      </c>
      <c r="G145" s="6"/>
      <c r="H145" s="6"/>
      <c r="I145" s="6"/>
      <c r="J145" s="6"/>
      <c r="K145" s="6"/>
      <c r="L145" s="6"/>
      <c r="M145" s="6"/>
      <c r="N145" s="6"/>
    </row>
    <row r="146" spans="2:14" x14ac:dyDescent="0.35">
      <c r="G146" s="6"/>
      <c r="H146" s="6"/>
      <c r="I146" s="6"/>
      <c r="J146" s="6"/>
      <c r="K146" s="6"/>
      <c r="L146" s="6"/>
      <c r="M146" s="6"/>
      <c r="N146" s="6"/>
    </row>
    <row r="147" spans="2:14" x14ac:dyDescent="0.35">
      <c r="B147" s="10" t="s">
        <v>140</v>
      </c>
      <c r="G147" s="6"/>
      <c r="H147" s="6"/>
      <c r="I147" s="6"/>
      <c r="J147" s="6"/>
      <c r="K147" s="6"/>
      <c r="L147" s="6"/>
      <c r="M147" s="6"/>
      <c r="N147" s="6"/>
    </row>
    <row r="148" spans="2:14" x14ac:dyDescent="0.35">
      <c r="B148" s="10" t="s">
        <v>189</v>
      </c>
      <c r="G148" s="6"/>
      <c r="H148" s="6"/>
      <c r="I148" s="6"/>
      <c r="J148" s="6"/>
      <c r="K148" s="6"/>
      <c r="L148" s="6"/>
      <c r="M148" s="6"/>
      <c r="N148" s="6"/>
    </row>
    <row r="149" spans="2:14" x14ac:dyDescent="0.35">
      <c r="B149" s="10" t="s">
        <v>186</v>
      </c>
      <c r="G149" s="6"/>
      <c r="H149" s="6"/>
      <c r="I149" s="6"/>
      <c r="J149" s="6"/>
      <c r="K149" s="6"/>
      <c r="L149" s="6"/>
      <c r="M149" s="6"/>
      <c r="N149" s="6"/>
    </row>
    <row r="150" spans="2:14" x14ac:dyDescent="0.35">
      <c r="B150" s="45"/>
      <c r="G150" s="6"/>
      <c r="H150" s="6"/>
      <c r="I150" s="6"/>
      <c r="J150" s="6"/>
      <c r="K150" s="6"/>
      <c r="L150" s="6"/>
      <c r="M150" s="6"/>
      <c r="N150" s="6"/>
    </row>
    <row r="151" spans="2:14" x14ac:dyDescent="0.35">
      <c r="B151" s="44" t="s">
        <v>191</v>
      </c>
      <c r="G151" s="6"/>
      <c r="H151" s="6"/>
      <c r="I151" s="6"/>
      <c r="J151" s="6"/>
      <c r="K151" s="6"/>
      <c r="L151" s="6"/>
      <c r="M151" s="6"/>
      <c r="N151" s="6"/>
    </row>
    <row r="152" spans="2:14" x14ac:dyDescent="0.35">
      <c r="B152" s="45"/>
      <c r="G152" s="6"/>
      <c r="H152" s="6"/>
      <c r="I152" s="6"/>
      <c r="J152" s="6"/>
      <c r="K152" s="6"/>
      <c r="L152" s="6"/>
      <c r="M152" s="6"/>
      <c r="N152" s="6"/>
    </row>
    <row r="153" spans="2:14" x14ac:dyDescent="0.35">
      <c r="B153" s="45"/>
      <c r="F153" s="27"/>
      <c r="G153" s="6"/>
      <c r="H153" s="6"/>
      <c r="I153" s="6"/>
      <c r="J153" s="6"/>
      <c r="K153" s="6"/>
      <c r="L153" s="6"/>
      <c r="M153" s="6"/>
      <c r="N153" s="6"/>
    </row>
    <row r="154" spans="2:14" x14ac:dyDescent="0.35">
      <c r="B154" s="2" t="s">
        <v>200</v>
      </c>
      <c r="G154" s="6"/>
      <c r="H154" s="6"/>
      <c r="I154" s="6"/>
      <c r="J154" s="6"/>
      <c r="K154" s="6"/>
      <c r="L154" s="6"/>
      <c r="M154" s="6"/>
      <c r="N154" s="6"/>
    </row>
    <row r="155" spans="2:14" x14ac:dyDescent="0.35">
      <c r="B155" s="10" t="s">
        <v>137</v>
      </c>
      <c r="G155" s="6"/>
      <c r="H155" s="6"/>
      <c r="I155" s="6"/>
      <c r="J155" s="6"/>
      <c r="K155" s="6"/>
      <c r="L155" s="6"/>
      <c r="M155" s="6"/>
      <c r="N155" s="6"/>
    </row>
    <row r="156" spans="2:14" x14ac:dyDescent="0.35">
      <c r="B156" s="10" t="s">
        <v>138</v>
      </c>
      <c r="G156" s="6"/>
      <c r="H156" s="6"/>
      <c r="I156" s="6"/>
      <c r="J156" s="6"/>
      <c r="K156" s="6"/>
      <c r="L156" s="6"/>
      <c r="M156" s="6"/>
      <c r="N156" s="6"/>
    </row>
    <row r="157" spans="2:14" x14ac:dyDescent="0.35">
      <c r="B157" s="10" t="s">
        <v>512</v>
      </c>
      <c r="G157" s="6"/>
      <c r="H157" s="6"/>
      <c r="I157" s="6"/>
      <c r="J157" s="6"/>
      <c r="K157" s="6"/>
      <c r="L157" s="6"/>
      <c r="M157" s="6"/>
      <c r="N157" s="6"/>
    </row>
    <row r="158" spans="2:14" x14ac:dyDescent="0.35">
      <c r="B158" s="10" t="s">
        <v>194</v>
      </c>
      <c r="G158" s="6"/>
      <c r="H158" s="6"/>
      <c r="I158" s="6"/>
      <c r="J158" s="6"/>
      <c r="K158" s="6"/>
      <c r="L158" s="6"/>
      <c r="M158" s="6"/>
      <c r="N158" s="6"/>
    </row>
    <row r="159" spans="2:14" x14ac:dyDescent="0.35">
      <c r="B159" s="10" t="s">
        <v>139</v>
      </c>
      <c r="G159" s="6"/>
      <c r="H159" s="6"/>
      <c r="I159" s="6"/>
      <c r="J159" s="6"/>
      <c r="K159" s="6"/>
      <c r="L159" s="6"/>
      <c r="M159" s="6"/>
      <c r="N159" s="6"/>
    </row>
    <row r="160" spans="2:14" x14ac:dyDescent="0.35">
      <c r="B160" s="10" t="s">
        <v>201</v>
      </c>
      <c r="G160" s="6"/>
      <c r="H160" s="6"/>
      <c r="I160" s="6"/>
      <c r="J160" s="6"/>
      <c r="K160" s="6"/>
      <c r="L160" s="6"/>
      <c r="M160" s="6"/>
      <c r="N160" s="6"/>
    </row>
    <row r="161" spans="2:14" x14ac:dyDescent="0.35">
      <c r="G161" s="6"/>
      <c r="H161" s="6"/>
      <c r="I161" s="6"/>
      <c r="J161" s="6"/>
      <c r="K161" s="6"/>
      <c r="L161" s="6"/>
      <c r="M161" s="6"/>
      <c r="N161" s="6"/>
    </row>
    <row r="162" spans="2:14" x14ac:dyDescent="0.35">
      <c r="B162" s="45" t="s">
        <v>140</v>
      </c>
      <c r="G162" s="6"/>
      <c r="H162" s="6"/>
      <c r="I162" s="6"/>
      <c r="J162" s="6"/>
      <c r="K162" s="6"/>
      <c r="L162" s="6"/>
      <c r="M162" s="6"/>
      <c r="N162" s="6"/>
    </row>
    <row r="163" spans="2:14" x14ac:dyDescent="0.35">
      <c r="B163" s="10" t="s">
        <v>141</v>
      </c>
      <c r="G163" s="6"/>
      <c r="H163" s="6"/>
      <c r="I163" s="6"/>
      <c r="J163" s="6"/>
      <c r="K163" s="6"/>
      <c r="L163" s="6"/>
      <c r="M163" s="6"/>
      <c r="N163" s="6"/>
    </row>
    <row r="164" spans="2:14" x14ac:dyDescent="0.35">
      <c r="B164" s="10" t="s">
        <v>214</v>
      </c>
      <c r="G164" s="6"/>
      <c r="H164" s="6"/>
      <c r="I164" s="6"/>
      <c r="J164" s="6"/>
      <c r="K164" s="6"/>
      <c r="L164" s="6"/>
      <c r="M164" s="6"/>
      <c r="N164" s="6"/>
    </row>
    <row r="165" spans="2:14" x14ac:dyDescent="0.35">
      <c r="B165" s="45" t="s">
        <v>196</v>
      </c>
      <c r="G165" s="6"/>
      <c r="H165" s="6"/>
      <c r="I165" s="6"/>
      <c r="J165" s="6"/>
      <c r="K165" s="6"/>
      <c r="L165" s="6"/>
      <c r="M165" s="6"/>
      <c r="N165" s="6"/>
    </row>
    <row r="166" spans="2:14" x14ac:dyDescent="0.35">
      <c r="B166" s="45"/>
      <c r="G166" s="6"/>
      <c r="H166" s="6"/>
      <c r="I166" s="6"/>
      <c r="J166" s="6"/>
      <c r="K166" s="6"/>
      <c r="L166" s="6"/>
      <c r="M166" s="6"/>
      <c r="N166" s="6"/>
    </row>
    <row r="167" spans="2:14" x14ac:dyDescent="0.35">
      <c r="B167" s="10" t="s">
        <v>144</v>
      </c>
      <c r="G167" s="6"/>
      <c r="H167" s="6"/>
      <c r="I167" s="6"/>
      <c r="J167" s="6"/>
      <c r="K167" s="6"/>
      <c r="L167" s="6"/>
      <c r="M167" s="6"/>
      <c r="N167" s="6"/>
    </row>
    <row r="168" spans="2:14" x14ac:dyDescent="0.35">
      <c r="B168" s="3" t="s">
        <v>202</v>
      </c>
      <c r="G168" s="6"/>
      <c r="H168" s="6"/>
      <c r="I168" s="6"/>
      <c r="J168" s="6"/>
      <c r="K168" s="6"/>
      <c r="L168" s="6"/>
      <c r="M168" s="6"/>
      <c r="N168" s="6"/>
    </row>
    <row r="169" spans="2:14" x14ac:dyDescent="0.35">
      <c r="B169" s="3"/>
      <c r="G169" s="6"/>
      <c r="H169" s="6"/>
      <c r="I169" s="6"/>
      <c r="J169" s="6"/>
      <c r="K169" s="6"/>
      <c r="L169" s="6"/>
      <c r="M169" s="6"/>
      <c r="N169" s="6"/>
    </row>
    <row r="170" spans="2:14" x14ac:dyDescent="0.35">
      <c r="B170" s="10" t="s">
        <v>197</v>
      </c>
      <c r="G170" s="6"/>
      <c r="H170" s="6"/>
      <c r="I170" s="6"/>
      <c r="J170" s="6"/>
      <c r="K170" s="6"/>
      <c r="L170" s="6"/>
      <c r="M170" s="6"/>
      <c r="N170" s="6"/>
    </row>
    <row r="171" spans="2:14" x14ac:dyDescent="0.35">
      <c r="B171" s="45" t="s">
        <v>142</v>
      </c>
      <c r="G171" s="6"/>
      <c r="H171" s="6"/>
      <c r="I171" s="6"/>
      <c r="J171" s="6"/>
      <c r="K171" s="6"/>
      <c r="L171" s="6"/>
      <c r="M171" s="6"/>
      <c r="N171" s="6"/>
    </row>
    <row r="172" spans="2:14" x14ac:dyDescent="0.35">
      <c r="B172" s="45" t="s">
        <v>193</v>
      </c>
      <c r="G172" s="6"/>
      <c r="H172" s="6"/>
      <c r="I172" s="6"/>
      <c r="J172" s="6"/>
      <c r="K172" s="6"/>
      <c r="L172" s="6"/>
      <c r="M172" s="6"/>
      <c r="N172" s="6"/>
    </row>
    <row r="173" spans="2:14" x14ac:dyDescent="0.35">
      <c r="B173" s="10" t="s">
        <v>198</v>
      </c>
      <c r="G173" s="6"/>
      <c r="H173" s="6"/>
      <c r="I173" s="6"/>
      <c r="J173" s="6"/>
      <c r="K173" s="6"/>
      <c r="L173" s="6"/>
      <c r="M173" s="6"/>
      <c r="N173" s="6"/>
    </row>
    <row r="174" spans="2:14" x14ac:dyDescent="0.35">
      <c r="B174" s="10" t="s">
        <v>199</v>
      </c>
      <c r="G174" s="6"/>
      <c r="H174" s="6"/>
      <c r="I174" s="6"/>
      <c r="J174" s="6"/>
      <c r="K174" s="6"/>
      <c r="L174" s="6"/>
      <c r="M174" s="6"/>
      <c r="N174" s="6"/>
    </row>
    <row r="175" spans="2:14" ht="16" thickBot="1" x14ac:dyDescent="0.4">
      <c r="B175" s="44" t="s">
        <v>174</v>
      </c>
      <c r="C175" s="14" t="s">
        <v>7</v>
      </c>
      <c r="D175" s="4"/>
      <c r="G175" s="6"/>
      <c r="H175" s="6"/>
      <c r="I175" s="6"/>
      <c r="J175" s="6"/>
      <c r="K175" s="6"/>
      <c r="L175" s="6"/>
      <c r="M175" s="6"/>
      <c r="N175" s="6"/>
    </row>
    <row r="176" spans="2:14" x14ac:dyDescent="0.35">
      <c r="B176" s="4" t="s">
        <v>147</v>
      </c>
      <c r="C176" s="149">
        <v>500</v>
      </c>
      <c r="D176" s="3" t="s">
        <v>15</v>
      </c>
      <c r="G176" s="6"/>
      <c r="H176" s="6"/>
      <c r="I176" s="6"/>
      <c r="J176" s="6"/>
      <c r="K176" s="6"/>
      <c r="L176" s="6"/>
      <c r="M176" s="6"/>
      <c r="N176" s="6"/>
    </row>
    <row r="177" spans="2:14" x14ac:dyDescent="0.35">
      <c r="B177" s="4" t="s">
        <v>150</v>
      </c>
      <c r="C177" s="19">
        <v>6</v>
      </c>
      <c r="D177" s="10" t="s">
        <v>11</v>
      </c>
      <c r="G177" s="6"/>
      <c r="H177" s="6"/>
      <c r="I177" s="6"/>
      <c r="J177" s="6"/>
      <c r="K177" s="6"/>
      <c r="L177" s="6"/>
      <c r="M177" s="6"/>
      <c r="N177" s="6"/>
    </row>
    <row r="178" spans="2:14" x14ac:dyDescent="0.35">
      <c r="B178" s="4" t="s">
        <v>149</v>
      </c>
      <c r="C178" s="19">
        <v>1</v>
      </c>
      <c r="D178" s="3" t="s">
        <v>11</v>
      </c>
      <c r="G178" s="6"/>
      <c r="H178" s="6"/>
      <c r="I178" s="6"/>
      <c r="J178" s="6"/>
      <c r="K178" s="6"/>
      <c r="L178" s="6"/>
      <c r="M178" s="6"/>
      <c r="N178" s="6"/>
    </row>
    <row r="179" spans="2:14" ht="16" thickBot="1" x14ac:dyDescent="0.4">
      <c r="B179" s="4" t="s">
        <v>151</v>
      </c>
      <c r="C179" s="156">
        <v>0.25</v>
      </c>
      <c r="D179" s="10" t="s">
        <v>11</v>
      </c>
      <c r="G179" s="6"/>
      <c r="H179" s="6"/>
      <c r="I179" s="6"/>
      <c r="J179" s="6"/>
      <c r="K179" s="6"/>
      <c r="L179" s="6"/>
      <c r="M179" s="6"/>
      <c r="N179" s="6"/>
    </row>
    <row r="180" spans="2:14" x14ac:dyDescent="0.35">
      <c r="C180" s="14" t="s">
        <v>89</v>
      </c>
      <c r="D180" s="4"/>
      <c r="G180" s="6"/>
      <c r="H180" s="6"/>
      <c r="I180" s="6"/>
      <c r="J180" s="6"/>
      <c r="K180" s="6"/>
      <c r="L180" s="6"/>
      <c r="M180" s="6"/>
      <c r="N180" s="6"/>
    </row>
    <row r="181" spans="2:14" x14ac:dyDescent="0.35">
      <c r="B181" s="4" t="s">
        <v>146</v>
      </c>
      <c r="C181" s="73" t="s">
        <v>152</v>
      </c>
      <c r="G181" s="6"/>
      <c r="H181" s="6"/>
      <c r="I181" s="6"/>
      <c r="J181" s="6"/>
      <c r="K181" s="6"/>
      <c r="L181" s="6"/>
      <c r="M181" s="6"/>
      <c r="N181" s="6"/>
    </row>
    <row r="182" spans="2:14" x14ac:dyDescent="0.35">
      <c r="B182" s="4" t="s">
        <v>153</v>
      </c>
      <c r="C182" s="73">
        <f>C176 * C177</f>
        <v>3000</v>
      </c>
      <c r="D182" s="10" t="s">
        <v>182</v>
      </c>
      <c r="G182" s="6"/>
      <c r="H182" s="6"/>
      <c r="I182" s="6"/>
      <c r="J182" s="6"/>
      <c r="K182" s="6"/>
      <c r="L182" s="6"/>
      <c r="M182" s="6"/>
      <c r="N182" s="6"/>
    </row>
    <row r="183" spans="2:14" x14ac:dyDescent="0.35">
      <c r="B183" s="4" t="s">
        <v>203</v>
      </c>
      <c r="C183" s="3" t="s">
        <v>204</v>
      </c>
      <c r="G183" s="6"/>
      <c r="H183" s="6"/>
      <c r="I183" s="6"/>
      <c r="J183" s="6"/>
      <c r="K183" s="6"/>
      <c r="L183" s="6"/>
      <c r="M183" s="6"/>
      <c r="N183" s="6"/>
    </row>
    <row r="184" spans="2:14" x14ac:dyDescent="0.35">
      <c r="B184" s="4" t="s">
        <v>206</v>
      </c>
      <c r="C184" s="151">
        <f>3.1416 * ( (C178 + C179 )^4 - ( C178 )^4 ) / 64</f>
        <v>7.0755029296874994E-2</v>
      </c>
      <c r="D184" s="3" t="s">
        <v>158</v>
      </c>
      <c r="G184" s="6"/>
      <c r="H184" s="6"/>
      <c r="I184" s="6"/>
      <c r="J184" s="6"/>
      <c r="K184" s="6"/>
      <c r="L184" s="6"/>
      <c r="M184" s="6"/>
      <c r="N184" s="6"/>
    </row>
    <row r="185" spans="2:14" x14ac:dyDescent="0.35">
      <c r="B185" s="4" t="s">
        <v>159</v>
      </c>
      <c r="C185" s="5" t="s">
        <v>205</v>
      </c>
      <c r="G185" s="6"/>
      <c r="H185" s="6"/>
      <c r="I185" s="6"/>
      <c r="J185" s="6"/>
      <c r="K185" s="6"/>
      <c r="L185" s="6"/>
      <c r="M185" s="6"/>
      <c r="N185" s="6"/>
    </row>
    <row r="186" spans="2:14" x14ac:dyDescent="0.35">
      <c r="B186" s="4" t="s">
        <v>143</v>
      </c>
      <c r="C186" s="157">
        <f>C182 * (C178/2) / C184</f>
        <v>21199.906422288059</v>
      </c>
      <c r="D186" s="3" t="s">
        <v>160</v>
      </c>
      <c r="G186" s="6"/>
      <c r="H186" s="6"/>
      <c r="I186" s="6"/>
      <c r="J186" s="6"/>
      <c r="K186" s="6"/>
      <c r="L186" s="6"/>
      <c r="M186" s="6"/>
      <c r="N186" s="6"/>
    </row>
    <row r="187" spans="2:14" x14ac:dyDescent="0.35">
      <c r="B187" s="4" t="s">
        <v>161</v>
      </c>
      <c r="C187" s="3" t="s">
        <v>207</v>
      </c>
      <c r="G187" s="6"/>
      <c r="H187" s="6"/>
      <c r="I187" s="6"/>
      <c r="J187" s="6"/>
      <c r="K187" s="6"/>
      <c r="L187" s="6"/>
      <c r="M187" s="6"/>
      <c r="N187" s="6"/>
    </row>
    <row r="188" spans="2:14" x14ac:dyDescent="0.35">
      <c r="B188" s="4" t="s">
        <v>162</v>
      </c>
      <c r="C188" s="151">
        <f>3.1416 * ( (C178 + C179 )^2 - ( C178 )^2 )</f>
        <v>1.76715</v>
      </c>
      <c r="D188" s="3" t="s">
        <v>164</v>
      </c>
      <c r="G188" s="6"/>
      <c r="H188" s="6"/>
      <c r="I188" s="6"/>
      <c r="J188" s="6"/>
      <c r="K188" s="6"/>
      <c r="L188" s="6"/>
      <c r="M188" s="6"/>
      <c r="N188" s="6"/>
    </row>
    <row r="189" spans="2:14" x14ac:dyDescent="0.35">
      <c r="B189" s="4" t="s">
        <v>165</v>
      </c>
      <c r="C189" s="5" t="s">
        <v>166</v>
      </c>
      <c r="G189" s="6"/>
      <c r="H189" s="6"/>
      <c r="I189" s="6"/>
      <c r="J189" s="6"/>
      <c r="K189" s="6"/>
      <c r="L189" s="6"/>
      <c r="M189" s="6"/>
      <c r="N189" s="6"/>
    </row>
    <row r="190" spans="2:14" x14ac:dyDescent="0.35">
      <c r="B190" s="4" t="s">
        <v>50</v>
      </c>
      <c r="C190" s="157">
        <f>C176 / C188</f>
        <v>282.94145941204766</v>
      </c>
      <c r="D190" s="3" t="s">
        <v>160</v>
      </c>
      <c r="G190" s="6"/>
      <c r="H190" s="6"/>
      <c r="I190" s="6"/>
      <c r="J190" s="6"/>
      <c r="K190" s="6"/>
      <c r="L190" s="6"/>
      <c r="M190" s="6"/>
      <c r="N190" s="6"/>
    </row>
    <row r="191" spans="2:14" ht="16" thickBot="1" x14ac:dyDescent="0.4">
      <c r="B191" s="4" t="s">
        <v>167</v>
      </c>
      <c r="C191" s="5" t="s">
        <v>168</v>
      </c>
      <c r="G191" s="6"/>
      <c r="H191" s="6"/>
      <c r="I191" s="6"/>
      <c r="J191" s="6"/>
      <c r="K191" s="6"/>
      <c r="L191" s="6"/>
      <c r="M191" s="6"/>
      <c r="N191" s="6"/>
    </row>
    <row r="192" spans="2:14" ht="16" thickBot="1" x14ac:dyDescent="0.4">
      <c r="B192" s="26" t="s">
        <v>169</v>
      </c>
      <c r="C192" s="33">
        <f>( C186^2 + C190^2 )^0.5</f>
        <v>21201.794456678064</v>
      </c>
      <c r="D192" s="8" t="s">
        <v>160</v>
      </c>
      <c r="G192" s="6"/>
      <c r="H192" s="6"/>
      <c r="I192" s="6"/>
      <c r="J192" s="6"/>
      <c r="K192" s="6"/>
      <c r="L192" s="6"/>
      <c r="M192" s="6"/>
      <c r="N192" s="6"/>
    </row>
    <row r="193" spans="2:14" ht="16" thickBot="1" x14ac:dyDescent="0.4">
      <c r="B193" s="4" t="s">
        <v>173</v>
      </c>
      <c r="C193" s="5" t="s">
        <v>170</v>
      </c>
      <c r="G193" s="6"/>
      <c r="H193" s="6"/>
      <c r="I193" s="6"/>
      <c r="J193" s="6"/>
      <c r="K193" s="6"/>
      <c r="L193" s="6"/>
      <c r="M193" s="6"/>
      <c r="N193" s="6"/>
    </row>
    <row r="194" spans="2:14" ht="16" thickBot="1" x14ac:dyDescent="0.4">
      <c r="B194" s="26" t="s">
        <v>172</v>
      </c>
      <c r="C194" s="33">
        <f>C192 * C179</f>
        <v>5300.4486141695161</v>
      </c>
      <c r="D194" s="8" t="s">
        <v>171</v>
      </c>
      <c r="G194" s="6"/>
      <c r="H194" s="6"/>
      <c r="I194" s="6"/>
      <c r="J194" s="6"/>
      <c r="K194" s="6"/>
      <c r="L194" s="6"/>
      <c r="M194" s="6"/>
      <c r="N194" s="6"/>
    </row>
    <row r="195" spans="2:14" x14ac:dyDescent="0.35">
      <c r="G195" s="6"/>
      <c r="H195" s="6"/>
      <c r="I195" s="6"/>
      <c r="J195" s="6"/>
      <c r="K195" s="6"/>
      <c r="L195" s="6"/>
      <c r="M195" s="6"/>
      <c r="N195" s="6"/>
    </row>
    <row r="196" spans="2:14" x14ac:dyDescent="0.35">
      <c r="B196" s="44" t="s">
        <v>175</v>
      </c>
      <c r="C196" s="14" t="s">
        <v>89</v>
      </c>
      <c r="D196" s="4"/>
      <c r="G196" s="6"/>
      <c r="H196" s="6"/>
      <c r="I196" s="6"/>
      <c r="J196" s="6"/>
      <c r="K196" s="6"/>
      <c r="L196" s="6"/>
      <c r="M196" s="6"/>
      <c r="N196" s="6"/>
    </row>
    <row r="197" spans="2:14" x14ac:dyDescent="0.35">
      <c r="B197" s="4" t="s">
        <v>366</v>
      </c>
      <c r="C197" s="5">
        <f>C176</f>
        <v>500</v>
      </c>
      <c r="D197" s="3" t="s">
        <v>15</v>
      </c>
      <c r="G197" s="6"/>
      <c r="H197" s="6"/>
      <c r="I197" s="6"/>
      <c r="J197" s="6"/>
      <c r="K197" s="6"/>
      <c r="L197" s="6"/>
      <c r="M197" s="6"/>
      <c r="N197" s="6"/>
    </row>
    <row r="198" spans="2:14" x14ac:dyDescent="0.35">
      <c r="B198" s="4" t="s">
        <v>181</v>
      </c>
      <c r="C198" s="73">
        <f>C182</f>
        <v>3000</v>
      </c>
      <c r="D198" s="10" t="s">
        <v>182</v>
      </c>
      <c r="G198" s="6"/>
      <c r="H198" s="6"/>
      <c r="I198" s="6"/>
      <c r="J198" s="6"/>
      <c r="K198" s="6"/>
      <c r="L198" s="6"/>
      <c r="M198" s="6"/>
      <c r="N198" s="6"/>
    </row>
    <row r="199" spans="2:14" x14ac:dyDescent="0.35">
      <c r="B199" s="4" t="s">
        <v>178</v>
      </c>
      <c r="C199" s="5" t="s">
        <v>208</v>
      </c>
      <c r="G199" s="6"/>
      <c r="H199" s="6"/>
      <c r="I199" s="6"/>
      <c r="J199" s="6"/>
      <c r="K199" s="6"/>
      <c r="L199" s="6"/>
      <c r="M199" s="6"/>
      <c r="N199" s="6"/>
    </row>
    <row r="200" spans="2:14" x14ac:dyDescent="0.35">
      <c r="B200" s="4" t="s">
        <v>179</v>
      </c>
      <c r="C200" s="5">
        <f>3.1416 * C178^4 / 64</f>
        <v>4.9087499999999999E-2</v>
      </c>
      <c r="D200" s="3" t="s">
        <v>158</v>
      </c>
      <c r="G200" s="6"/>
      <c r="H200" s="6"/>
      <c r="I200" s="6"/>
      <c r="J200" s="6"/>
      <c r="K200" s="6"/>
      <c r="L200" s="6"/>
      <c r="M200" s="6"/>
      <c r="N200" s="6"/>
    </row>
    <row r="201" spans="2:14" ht="16" thickBot="1" x14ac:dyDescent="0.4">
      <c r="B201" s="4" t="s">
        <v>177</v>
      </c>
      <c r="C201" s="5" t="s">
        <v>180</v>
      </c>
      <c r="G201" s="6"/>
      <c r="H201" s="6"/>
      <c r="I201" s="6"/>
      <c r="J201" s="6"/>
      <c r="K201" s="6"/>
      <c r="L201" s="6"/>
      <c r="M201" s="6"/>
      <c r="N201" s="6"/>
    </row>
    <row r="202" spans="2:14" ht="16" thickBot="1" x14ac:dyDescent="0.4">
      <c r="B202" s="4" t="s">
        <v>513</v>
      </c>
      <c r="C202" s="33">
        <f>C182 * (C178/2) / C200</f>
        <v>30557.677616501147</v>
      </c>
      <c r="D202" s="8" t="s">
        <v>160</v>
      </c>
      <c r="G202" s="6"/>
      <c r="H202" s="6"/>
      <c r="I202" s="6"/>
      <c r="J202" s="6"/>
      <c r="K202" s="6"/>
      <c r="L202" s="6"/>
      <c r="M202" s="6"/>
      <c r="N202" s="6"/>
    </row>
    <row r="203" spans="2:14" ht="16" thickBot="1" x14ac:dyDescent="0.4">
      <c r="B203" s="4" t="s">
        <v>183</v>
      </c>
      <c r="C203" s="158" t="s">
        <v>209</v>
      </c>
      <c r="D203" s="2"/>
      <c r="G203" s="6"/>
      <c r="H203" s="6"/>
      <c r="I203" s="6"/>
      <c r="J203" s="6"/>
      <c r="K203" s="6"/>
      <c r="L203" s="6"/>
      <c r="M203" s="6"/>
      <c r="N203" s="6"/>
    </row>
    <row r="204" spans="2:14" ht="16" thickBot="1" x14ac:dyDescent="0.4">
      <c r="B204" s="4" t="s">
        <v>514</v>
      </c>
      <c r="C204" s="33">
        <f>1.333 * C197 / ( 3.1416 * C178^2 / 4 )</f>
        <v>848.61217214158387</v>
      </c>
      <c r="D204" s="8" t="s">
        <v>160</v>
      </c>
      <c r="F204" s="27"/>
      <c r="G204" s="6"/>
      <c r="H204" s="6"/>
      <c r="I204" s="6"/>
      <c r="J204" s="6"/>
      <c r="K204" s="6"/>
      <c r="L204" s="6"/>
      <c r="M204" s="6"/>
      <c r="N204" s="6"/>
    </row>
    <row r="205" spans="2:14" x14ac:dyDescent="0.35">
      <c r="G205" s="6"/>
      <c r="H205" s="6"/>
      <c r="I205" s="6"/>
      <c r="J205" s="6"/>
      <c r="K205" s="6"/>
      <c r="L205" s="6"/>
      <c r="M205" s="6"/>
      <c r="N205" s="6"/>
    </row>
    <row r="206" spans="2:14" x14ac:dyDescent="0.35">
      <c r="B206" s="2" t="s">
        <v>210</v>
      </c>
      <c r="G206" s="6"/>
      <c r="H206" s="6"/>
      <c r="I206" s="6"/>
      <c r="J206" s="6"/>
      <c r="K206" s="6"/>
      <c r="L206" s="6"/>
      <c r="M206" s="6"/>
      <c r="N206" s="6"/>
    </row>
    <row r="207" spans="2:14" x14ac:dyDescent="0.35">
      <c r="B207" s="10" t="s">
        <v>211</v>
      </c>
      <c r="G207" s="6"/>
      <c r="H207" s="6"/>
      <c r="I207" s="6"/>
      <c r="J207" s="6"/>
      <c r="K207" s="6"/>
      <c r="L207" s="6"/>
      <c r="M207" s="6"/>
      <c r="N207" s="6"/>
    </row>
    <row r="208" spans="2:14" x14ac:dyDescent="0.35">
      <c r="B208" s="10" t="s">
        <v>212</v>
      </c>
      <c r="G208" s="6"/>
      <c r="H208" s="6"/>
      <c r="I208" s="6"/>
      <c r="J208" s="6"/>
      <c r="K208" s="6"/>
      <c r="L208" s="6"/>
      <c r="M208" s="6"/>
      <c r="N208" s="6"/>
    </row>
    <row r="209" spans="2:14" x14ac:dyDescent="0.35">
      <c r="B209" s="10" t="s">
        <v>512</v>
      </c>
      <c r="G209" s="6"/>
      <c r="H209" s="6"/>
      <c r="I209" s="6"/>
      <c r="J209" s="6"/>
      <c r="K209" s="6"/>
      <c r="L209" s="6"/>
      <c r="M209" s="6"/>
      <c r="N209" s="6"/>
    </row>
    <row r="210" spans="2:14" x14ac:dyDescent="0.35">
      <c r="B210" s="10" t="s">
        <v>194</v>
      </c>
      <c r="G210" s="6"/>
      <c r="H210" s="6"/>
      <c r="I210" s="6"/>
      <c r="J210" s="6"/>
      <c r="K210" s="6"/>
      <c r="L210" s="6"/>
      <c r="M210" s="6"/>
      <c r="N210" s="6"/>
    </row>
    <row r="211" spans="2:14" x14ac:dyDescent="0.35">
      <c r="B211" s="10" t="s">
        <v>139</v>
      </c>
      <c r="G211" s="6"/>
      <c r="H211" s="6"/>
      <c r="I211" s="6"/>
      <c r="J211" s="6"/>
      <c r="K211" s="6"/>
      <c r="L211" s="6"/>
      <c r="M211" s="6"/>
      <c r="N211" s="6"/>
    </row>
    <row r="212" spans="2:14" x14ac:dyDescent="0.35">
      <c r="B212" s="10" t="s">
        <v>213</v>
      </c>
      <c r="G212" s="6"/>
      <c r="H212" s="6"/>
      <c r="I212" s="6"/>
      <c r="J212" s="6"/>
      <c r="K212" s="6"/>
      <c r="L212" s="6"/>
      <c r="M212" s="6"/>
      <c r="N212" s="6"/>
    </row>
    <row r="213" spans="2:14" x14ac:dyDescent="0.35">
      <c r="G213" s="6"/>
      <c r="H213" s="6"/>
      <c r="I213" s="6"/>
      <c r="J213" s="6"/>
      <c r="K213" s="6"/>
      <c r="L213" s="6"/>
      <c r="M213" s="6"/>
      <c r="N213" s="6"/>
    </row>
    <row r="214" spans="2:14" x14ac:dyDescent="0.35">
      <c r="B214" s="45" t="s">
        <v>140</v>
      </c>
      <c r="G214" s="6"/>
      <c r="H214" s="6"/>
      <c r="I214" s="6"/>
      <c r="J214" s="6"/>
      <c r="K214" s="6"/>
      <c r="L214" s="6"/>
      <c r="M214" s="6"/>
      <c r="N214" s="6"/>
    </row>
    <row r="215" spans="2:14" x14ac:dyDescent="0.35">
      <c r="B215" s="10" t="s">
        <v>141</v>
      </c>
      <c r="G215" s="6"/>
      <c r="H215" s="6"/>
      <c r="I215" s="6"/>
      <c r="J215" s="6"/>
      <c r="K215" s="6"/>
      <c r="L215" s="6"/>
      <c r="M215" s="6"/>
      <c r="N215" s="6"/>
    </row>
    <row r="216" spans="2:14" x14ac:dyDescent="0.35">
      <c r="B216" s="10" t="s">
        <v>216</v>
      </c>
      <c r="G216" s="6"/>
      <c r="H216" s="6"/>
      <c r="I216" s="6"/>
      <c r="J216" s="6"/>
      <c r="K216" s="6"/>
      <c r="L216" s="6"/>
      <c r="M216" s="6"/>
      <c r="N216" s="6"/>
    </row>
    <row r="217" spans="2:14" x14ac:dyDescent="0.35">
      <c r="B217" s="45" t="s">
        <v>217</v>
      </c>
      <c r="G217" s="6"/>
      <c r="H217" s="6"/>
      <c r="I217" s="6"/>
      <c r="J217" s="6"/>
      <c r="K217" s="6"/>
      <c r="L217" s="6"/>
      <c r="M217" s="6"/>
      <c r="N217" s="6"/>
    </row>
    <row r="218" spans="2:14" x14ac:dyDescent="0.35">
      <c r="B218" s="45"/>
      <c r="G218" s="6"/>
      <c r="H218" s="6"/>
      <c r="I218" s="6"/>
      <c r="J218" s="6"/>
      <c r="K218" s="6"/>
      <c r="L218" s="6"/>
      <c r="M218" s="6"/>
      <c r="N218" s="6"/>
    </row>
    <row r="219" spans="2:14" x14ac:dyDescent="0.35">
      <c r="B219" s="10" t="s">
        <v>144</v>
      </c>
      <c r="G219" s="6"/>
      <c r="H219" s="6"/>
      <c r="I219" s="6"/>
      <c r="J219" s="6"/>
      <c r="K219" s="6"/>
      <c r="L219" s="6"/>
      <c r="M219" s="6"/>
      <c r="N219" s="6"/>
    </row>
    <row r="220" spans="2:14" x14ac:dyDescent="0.35">
      <c r="B220" s="3" t="s">
        <v>218</v>
      </c>
      <c r="G220" s="6"/>
      <c r="H220" s="6"/>
      <c r="I220" s="6"/>
      <c r="J220" s="6"/>
      <c r="K220" s="6"/>
      <c r="L220" s="6"/>
      <c r="M220" s="6"/>
      <c r="N220" s="6"/>
    </row>
    <row r="221" spans="2:14" x14ac:dyDescent="0.35">
      <c r="B221" s="3"/>
      <c r="G221" s="6"/>
      <c r="H221" s="6"/>
      <c r="I221" s="6"/>
      <c r="J221" s="6"/>
      <c r="K221" s="6"/>
      <c r="L221" s="6"/>
      <c r="M221" s="6"/>
      <c r="N221" s="6"/>
    </row>
    <row r="222" spans="2:14" x14ac:dyDescent="0.35">
      <c r="B222" s="10" t="s">
        <v>197</v>
      </c>
      <c r="G222" s="6"/>
      <c r="H222" s="6"/>
      <c r="I222" s="6"/>
      <c r="J222" s="6"/>
      <c r="K222" s="6"/>
      <c r="L222" s="6"/>
      <c r="M222" s="6"/>
      <c r="N222" s="6"/>
    </row>
    <row r="223" spans="2:14" x14ac:dyDescent="0.35">
      <c r="B223" s="45" t="s">
        <v>142</v>
      </c>
      <c r="G223" s="6"/>
      <c r="H223" s="6"/>
      <c r="I223" s="6"/>
      <c r="J223" s="6"/>
      <c r="K223" s="6"/>
      <c r="L223" s="6"/>
      <c r="M223" s="6"/>
      <c r="N223" s="6"/>
    </row>
    <row r="224" spans="2:14" x14ac:dyDescent="0.35">
      <c r="B224" s="45" t="s">
        <v>193</v>
      </c>
      <c r="G224" s="6"/>
      <c r="H224" s="6"/>
      <c r="I224" s="6"/>
      <c r="J224" s="6"/>
      <c r="K224" s="6"/>
      <c r="L224" s="6"/>
      <c r="M224" s="6"/>
      <c r="N224" s="6"/>
    </row>
    <row r="225" spans="2:14" x14ac:dyDescent="0.35">
      <c r="B225" s="10" t="s">
        <v>198</v>
      </c>
      <c r="G225" s="6"/>
      <c r="H225" s="6"/>
      <c r="I225" s="6"/>
      <c r="J225" s="6"/>
      <c r="K225" s="6"/>
      <c r="L225" s="6"/>
      <c r="M225" s="6"/>
      <c r="N225" s="6"/>
    </row>
    <row r="226" spans="2:14" x14ac:dyDescent="0.35">
      <c r="B226" s="10" t="s">
        <v>199</v>
      </c>
      <c r="G226" s="6"/>
      <c r="H226" s="6"/>
      <c r="I226" s="6"/>
      <c r="J226" s="6"/>
      <c r="K226" s="6"/>
      <c r="L226" s="6"/>
      <c r="M226" s="6"/>
      <c r="N226" s="6"/>
    </row>
    <row r="227" spans="2:14" x14ac:dyDescent="0.35">
      <c r="G227" s="6"/>
      <c r="H227" s="6"/>
      <c r="I227" s="6"/>
      <c r="J227" s="6"/>
      <c r="K227" s="6"/>
      <c r="L227" s="6"/>
      <c r="M227" s="6"/>
      <c r="N227" s="6"/>
    </row>
    <row r="228" spans="2:14" x14ac:dyDescent="0.35">
      <c r="B228" s="2" t="s">
        <v>220</v>
      </c>
      <c r="G228" s="6"/>
      <c r="H228" s="6"/>
      <c r="I228" s="6"/>
      <c r="J228" s="6"/>
      <c r="K228" s="6"/>
      <c r="L228" s="6"/>
      <c r="M228" s="6"/>
      <c r="N228" s="6"/>
    </row>
    <row r="229" spans="2:14" x14ac:dyDescent="0.35">
      <c r="G229" s="6"/>
      <c r="H229" s="6"/>
      <c r="I229" s="6"/>
      <c r="J229" s="6"/>
      <c r="K229" s="6"/>
      <c r="L229" s="6"/>
      <c r="M229" s="6"/>
      <c r="N229" s="6"/>
    </row>
    <row r="230" spans="2:14" x14ac:dyDescent="0.35">
      <c r="B230" s="10" t="s">
        <v>219</v>
      </c>
      <c r="G230" s="6"/>
      <c r="H230" s="6"/>
      <c r="I230" s="6"/>
      <c r="J230" s="6"/>
      <c r="K230" s="6"/>
      <c r="L230" s="6"/>
      <c r="M230" s="6"/>
      <c r="N230" s="6"/>
    </row>
    <row r="231" spans="2:14" x14ac:dyDescent="0.35">
      <c r="B231" s="10" t="s">
        <v>367</v>
      </c>
      <c r="G231" s="6"/>
      <c r="H231" s="6"/>
      <c r="I231" s="6"/>
      <c r="J231" s="6"/>
      <c r="K231" s="6"/>
      <c r="L231" s="6"/>
      <c r="M231" s="6"/>
      <c r="N231" s="6"/>
    </row>
    <row r="232" spans="2:14" x14ac:dyDescent="0.35">
      <c r="B232" s="10" t="s">
        <v>221</v>
      </c>
      <c r="G232" s="6"/>
      <c r="H232" s="6"/>
      <c r="I232" s="6"/>
      <c r="J232" s="6"/>
      <c r="K232" s="6"/>
      <c r="L232" s="6"/>
      <c r="M232" s="6"/>
      <c r="N232" s="6"/>
    </row>
    <row r="233" spans="2:14" x14ac:dyDescent="0.35">
      <c r="B233" s="10" t="s">
        <v>226</v>
      </c>
      <c r="G233" s="6"/>
      <c r="H233" s="6"/>
      <c r="I233" s="6"/>
      <c r="J233" s="6"/>
      <c r="K233" s="6"/>
      <c r="L233" s="6"/>
      <c r="M233" s="6"/>
      <c r="N233" s="6"/>
    </row>
    <row r="234" spans="2:14" x14ac:dyDescent="0.35">
      <c r="G234" s="6"/>
      <c r="H234" s="6"/>
      <c r="I234" s="6"/>
      <c r="J234" s="6"/>
      <c r="K234" s="6"/>
      <c r="L234" s="6"/>
      <c r="M234" s="6"/>
      <c r="N234" s="6"/>
    </row>
    <row r="235" spans="2:14" x14ac:dyDescent="0.35">
      <c r="B235" s="10" t="s">
        <v>228</v>
      </c>
      <c r="G235" s="6"/>
      <c r="H235" s="6"/>
      <c r="I235" s="6"/>
      <c r="J235" s="6"/>
      <c r="K235" s="6"/>
      <c r="L235" s="6"/>
      <c r="M235" s="6"/>
      <c r="N235" s="6"/>
    </row>
    <row r="236" spans="2:14" x14ac:dyDescent="0.35">
      <c r="B236" s="10"/>
      <c r="G236" s="6"/>
      <c r="H236" s="6"/>
      <c r="I236" s="6"/>
      <c r="J236" s="6"/>
      <c r="K236" s="6"/>
      <c r="L236" s="6"/>
      <c r="M236" s="6"/>
      <c r="N236" s="6"/>
    </row>
    <row r="237" spans="2:14" x14ac:dyDescent="0.35">
      <c r="B237" s="10" t="s">
        <v>222</v>
      </c>
      <c r="G237" s="6"/>
      <c r="H237" s="6"/>
      <c r="I237" s="6"/>
      <c r="J237" s="6"/>
      <c r="K237" s="6"/>
      <c r="L237" s="6"/>
      <c r="M237" s="6"/>
      <c r="N237" s="6"/>
    </row>
    <row r="238" spans="2:14" x14ac:dyDescent="0.35">
      <c r="B238" s="10"/>
      <c r="G238" s="6"/>
      <c r="H238" s="6"/>
      <c r="I238" s="6"/>
      <c r="J238" s="6"/>
      <c r="K238" s="6"/>
      <c r="L238" s="6"/>
      <c r="M238" s="6"/>
      <c r="N238" s="6"/>
    </row>
    <row r="239" spans="2:14" x14ac:dyDescent="0.35">
      <c r="B239" s="10" t="s">
        <v>225</v>
      </c>
      <c r="G239" s="6"/>
      <c r="H239" s="6"/>
      <c r="I239" s="6"/>
      <c r="J239" s="6"/>
      <c r="K239" s="6"/>
      <c r="L239" s="6"/>
      <c r="M239" s="6"/>
      <c r="N239" s="6"/>
    </row>
    <row r="240" spans="2:14" x14ac:dyDescent="0.35">
      <c r="B240" s="10"/>
      <c r="G240" s="6"/>
      <c r="H240" s="6"/>
      <c r="I240" s="6"/>
      <c r="J240" s="6"/>
      <c r="K240" s="6"/>
      <c r="L240" s="6"/>
      <c r="M240" s="6"/>
      <c r="N240" s="6"/>
    </row>
    <row r="241" spans="2:14" x14ac:dyDescent="0.35">
      <c r="G241" s="6"/>
      <c r="H241" s="6"/>
      <c r="I241" s="6"/>
      <c r="J241" s="6"/>
      <c r="K241" s="6"/>
      <c r="L241" s="6"/>
      <c r="M241" s="6"/>
      <c r="N241" s="6"/>
    </row>
    <row r="242" spans="2:14" x14ac:dyDescent="0.35">
      <c r="G242" s="6"/>
      <c r="H242" s="6"/>
      <c r="I242" s="6"/>
      <c r="J242" s="6"/>
      <c r="K242" s="6"/>
      <c r="L242" s="6"/>
      <c r="M242" s="6"/>
      <c r="N242" s="6"/>
    </row>
    <row r="243" spans="2:14" x14ac:dyDescent="0.35">
      <c r="G243" s="6"/>
      <c r="H243" s="6"/>
      <c r="I243" s="6"/>
      <c r="J243" s="6"/>
      <c r="K243" s="6"/>
      <c r="L243" s="6"/>
      <c r="M243" s="6"/>
      <c r="N243" s="6"/>
    </row>
    <row r="244" spans="2:14" x14ac:dyDescent="0.35">
      <c r="G244" s="6"/>
      <c r="H244" s="6"/>
      <c r="I244" s="6"/>
      <c r="J244" s="6"/>
      <c r="K244" s="6"/>
      <c r="L244" s="6"/>
      <c r="M244" s="6"/>
      <c r="N244" s="6"/>
    </row>
    <row r="245" spans="2:14" x14ac:dyDescent="0.35">
      <c r="G245" s="6"/>
      <c r="H245" s="6"/>
      <c r="I245" s="6"/>
      <c r="J245" s="6"/>
      <c r="K245" s="6"/>
      <c r="L245" s="6"/>
      <c r="M245" s="6"/>
      <c r="N245" s="6"/>
    </row>
    <row r="246" spans="2:14" x14ac:dyDescent="0.35">
      <c r="G246" s="6"/>
      <c r="H246" s="6"/>
      <c r="I246" s="6"/>
      <c r="J246" s="6"/>
      <c r="K246" s="6"/>
      <c r="L246" s="6"/>
      <c r="M246" s="6"/>
      <c r="N246" s="6"/>
    </row>
    <row r="247" spans="2:14" x14ac:dyDescent="0.35">
      <c r="G247" s="6"/>
      <c r="H247" s="6"/>
      <c r="I247" s="6"/>
      <c r="J247" s="6"/>
      <c r="K247" s="6"/>
      <c r="L247" s="6"/>
      <c r="M247" s="6"/>
      <c r="N247" s="6"/>
    </row>
    <row r="248" spans="2:14" x14ac:dyDescent="0.35">
      <c r="G248" s="6"/>
      <c r="H248" s="6"/>
      <c r="I248" s="6"/>
      <c r="J248" s="6"/>
      <c r="K248" s="6"/>
      <c r="L248" s="6"/>
      <c r="M248" s="6"/>
      <c r="N248" s="6"/>
    </row>
    <row r="249" spans="2:14" x14ac:dyDescent="0.35">
      <c r="G249" s="6"/>
      <c r="H249" s="6"/>
      <c r="I249" s="6"/>
      <c r="J249" s="6"/>
      <c r="K249" s="6"/>
      <c r="L249" s="6"/>
      <c r="M249" s="6"/>
      <c r="N249" s="6"/>
    </row>
    <row r="250" spans="2:14" x14ac:dyDescent="0.35">
      <c r="G250" s="6"/>
      <c r="H250" s="6"/>
      <c r="I250" s="6"/>
      <c r="J250" s="6"/>
      <c r="K250" s="6"/>
      <c r="L250" s="6"/>
      <c r="M250" s="6"/>
      <c r="N250" s="6"/>
    </row>
    <row r="251" spans="2:14" x14ac:dyDescent="0.35">
      <c r="G251" s="6"/>
      <c r="H251" s="6"/>
      <c r="I251" s="6"/>
      <c r="J251" s="6"/>
      <c r="K251" s="6"/>
      <c r="L251" s="6"/>
      <c r="M251" s="6"/>
      <c r="N251" s="6"/>
    </row>
    <row r="252" spans="2:14" x14ac:dyDescent="0.35">
      <c r="G252" s="6"/>
      <c r="H252" s="6"/>
      <c r="I252" s="6"/>
      <c r="J252" s="6"/>
      <c r="K252" s="6"/>
      <c r="L252" s="6"/>
      <c r="M252" s="6"/>
      <c r="N252" s="6"/>
    </row>
    <row r="253" spans="2:14" x14ac:dyDescent="0.35">
      <c r="G253" s="6"/>
      <c r="H253" s="6"/>
      <c r="I253" s="6"/>
      <c r="J253" s="6"/>
      <c r="K253" s="6"/>
      <c r="L253" s="6"/>
      <c r="M253" s="6"/>
      <c r="N253" s="6"/>
    </row>
    <row r="254" spans="2:14" x14ac:dyDescent="0.35">
      <c r="G254" s="6"/>
      <c r="H254" s="6"/>
      <c r="I254" s="6"/>
      <c r="J254" s="6"/>
      <c r="K254" s="6"/>
      <c r="L254" s="6"/>
      <c r="M254" s="6"/>
      <c r="N254" s="6"/>
    </row>
    <row r="255" spans="2:14" x14ac:dyDescent="0.35">
      <c r="B255" s="10"/>
      <c r="F255" s="27"/>
      <c r="G255" s="6"/>
      <c r="H255" s="6"/>
      <c r="I255" s="6"/>
      <c r="J255" s="6"/>
      <c r="K255" s="6"/>
      <c r="L255" s="6"/>
      <c r="M255" s="6"/>
      <c r="N255" s="6"/>
    </row>
    <row r="256" spans="2:14" x14ac:dyDescent="0.35">
      <c r="B256" s="10" t="s">
        <v>368</v>
      </c>
      <c r="G256" s="6"/>
      <c r="H256" s="6"/>
      <c r="I256" s="6"/>
      <c r="J256" s="6"/>
      <c r="K256" s="6"/>
      <c r="L256" s="6"/>
      <c r="M256" s="6"/>
      <c r="N256" s="6"/>
    </row>
    <row r="257" spans="2:14" x14ac:dyDescent="0.35">
      <c r="B257" s="10" t="s">
        <v>230</v>
      </c>
      <c r="G257" s="6"/>
      <c r="H257" s="6"/>
      <c r="I257" s="6"/>
      <c r="J257" s="6"/>
      <c r="K257" s="6"/>
      <c r="L257" s="6"/>
      <c r="M257" s="6"/>
      <c r="N257" s="6"/>
    </row>
    <row r="258" spans="2:14" x14ac:dyDescent="0.35">
      <c r="G258" s="6"/>
      <c r="H258" s="6"/>
      <c r="I258" s="6"/>
      <c r="J258" s="6"/>
      <c r="K258" s="6"/>
      <c r="L258" s="6"/>
      <c r="M258" s="6"/>
      <c r="N258" s="6"/>
    </row>
    <row r="259" spans="2:14" x14ac:dyDescent="0.35">
      <c r="B259" s="10" t="s">
        <v>369</v>
      </c>
      <c r="G259" s="6"/>
      <c r="H259" s="6"/>
      <c r="I259" s="6"/>
      <c r="J259" s="6"/>
      <c r="K259" s="6"/>
      <c r="L259" s="6"/>
      <c r="M259" s="6"/>
      <c r="N259" s="6"/>
    </row>
    <row r="260" spans="2:14" x14ac:dyDescent="0.35">
      <c r="B260" s="10" t="s">
        <v>229</v>
      </c>
      <c r="G260" s="6"/>
      <c r="H260" s="6"/>
      <c r="I260" s="6"/>
      <c r="J260" s="6"/>
      <c r="K260" s="6"/>
      <c r="L260" s="6"/>
      <c r="M260" s="6"/>
      <c r="N260" s="6"/>
    </row>
    <row r="261" spans="2:14" x14ac:dyDescent="0.35">
      <c r="G261" s="6"/>
      <c r="H261" s="6"/>
      <c r="I261" s="6"/>
      <c r="J261" s="6"/>
      <c r="K261" s="6"/>
      <c r="L261" s="6"/>
      <c r="M261" s="6"/>
      <c r="N261" s="6"/>
    </row>
    <row r="262" spans="2:14" ht="16" thickBot="1" x14ac:dyDescent="0.4">
      <c r="B262" s="44" t="s">
        <v>242</v>
      </c>
      <c r="C262" s="14" t="s">
        <v>7</v>
      </c>
      <c r="G262" s="6"/>
      <c r="H262" s="6"/>
      <c r="I262" s="6"/>
      <c r="J262" s="6"/>
      <c r="K262" s="6"/>
      <c r="L262" s="6"/>
      <c r="M262" s="6"/>
      <c r="N262" s="6"/>
    </row>
    <row r="263" spans="2:14" x14ac:dyDescent="0.35">
      <c r="B263" s="4" t="s">
        <v>231</v>
      </c>
      <c r="C263" s="17">
        <v>8000</v>
      </c>
      <c r="D263" s="3" t="s">
        <v>15</v>
      </c>
      <c r="G263" s="6"/>
      <c r="H263" s="6"/>
      <c r="I263" s="6"/>
      <c r="J263" s="6"/>
      <c r="K263" s="6"/>
      <c r="L263" s="6"/>
      <c r="M263" s="6"/>
      <c r="N263" s="6"/>
    </row>
    <row r="264" spans="2:14" x14ac:dyDescent="0.35">
      <c r="B264" s="4" t="s">
        <v>150</v>
      </c>
      <c r="C264" s="19">
        <v>20</v>
      </c>
      <c r="D264" s="10" t="s">
        <v>11</v>
      </c>
      <c r="G264" s="6"/>
      <c r="H264" s="6"/>
      <c r="I264" s="6"/>
      <c r="J264" s="6"/>
      <c r="K264" s="6"/>
      <c r="L264" s="6"/>
      <c r="M264" s="6"/>
      <c r="N264" s="6"/>
    </row>
    <row r="265" spans="2:14" x14ac:dyDescent="0.35">
      <c r="B265" s="4" t="s">
        <v>232</v>
      </c>
      <c r="C265" s="19">
        <v>5</v>
      </c>
      <c r="D265" s="3" t="s">
        <v>11</v>
      </c>
      <c r="G265" s="6"/>
      <c r="H265" s="6"/>
      <c r="I265" s="6"/>
      <c r="J265" s="6"/>
      <c r="K265" s="6"/>
      <c r="L265" s="6"/>
      <c r="M265" s="6"/>
      <c r="N265" s="6"/>
    </row>
    <row r="266" spans="2:14" x14ac:dyDescent="0.35">
      <c r="B266" s="4" t="s">
        <v>233</v>
      </c>
      <c r="C266" s="19">
        <v>10</v>
      </c>
      <c r="D266" s="3" t="s">
        <v>11</v>
      </c>
      <c r="G266" s="6"/>
      <c r="H266" s="6"/>
      <c r="I266" s="6"/>
      <c r="J266" s="6"/>
      <c r="K266" s="6"/>
      <c r="L266" s="6"/>
      <c r="M266" s="6"/>
      <c r="N266" s="6"/>
    </row>
    <row r="267" spans="2:14" ht="16" thickBot="1" x14ac:dyDescent="0.4">
      <c r="B267" s="4" t="s">
        <v>151</v>
      </c>
      <c r="C267" s="156">
        <v>0.34699999999999998</v>
      </c>
      <c r="D267" s="10" t="s">
        <v>11</v>
      </c>
      <c r="G267" s="6"/>
      <c r="H267" s="6"/>
      <c r="I267" s="6"/>
      <c r="J267" s="6"/>
      <c r="K267" s="6"/>
      <c r="L267" s="6"/>
      <c r="M267" s="6"/>
      <c r="N267" s="6"/>
    </row>
    <row r="268" spans="2:14" x14ac:dyDescent="0.35">
      <c r="C268" s="14" t="s">
        <v>89</v>
      </c>
      <c r="D268" s="4"/>
      <c r="G268" s="6"/>
      <c r="H268" s="6"/>
      <c r="I268" s="6"/>
      <c r="J268" s="6"/>
      <c r="K268" s="6"/>
      <c r="L268" s="6"/>
      <c r="M268" s="6"/>
      <c r="N268" s="6"/>
    </row>
    <row r="269" spans="2:14" x14ac:dyDescent="0.35">
      <c r="B269" s="4" t="s">
        <v>227</v>
      </c>
      <c r="C269" s="10" t="s">
        <v>234</v>
      </c>
      <c r="G269" s="6"/>
      <c r="H269" s="6"/>
      <c r="I269" s="6"/>
      <c r="J269" s="6"/>
      <c r="K269" s="6"/>
      <c r="L269" s="6"/>
      <c r="M269" s="6"/>
      <c r="N269" s="6"/>
    </row>
    <row r="270" spans="2:14" x14ac:dyDescent="0.35">
      <c r="B270" s="4" t="s">
        <v>235</v>
      </c>
      <c r="C270" s="70">
        <f>( C266*C267 )+( 2*( C265 + C267 )*C267 )</f>
        <v>7.1808179999999986</v>
      </c>
      <c r="D270" s="3" t="s">
        <v>164</v>
      </c>
      <c r="G270" s="6"/>
      <c r="H270" s="6"/>
      <c r="I270" s="6"/>
      <c r="J270" s="6"/>
      <c r="K270" s="6"/>
      <c r="L270" s="6"/>
      <c r="M270" s="6"/>
      <c r="N270" s="6"/>
    </row>
    <row r="271" spans="2:14" x14ac:dyDescent="0.35">
      <c r="B271" s="4" t="s">
        <v>240</v>
      </c>
      <c r="C271" s="5" t="s">
        <v>237</v>
      </c>
      <c r="G271" s="6"/>
      <c r="H271" s="6"/>
      <c r="I271" s="6"/>
      <c r="J271" s="6"/>
      <c r="K271" s="6"/>
      <c r="L271" s="6"/>
      <c r="M271" s="6"/>
      <c r="N271" s="6"/>
    </row>
    <row r="272" spans="2:14" x14ac:dyDescent="0.35">
      <c r="B272" s="4" t="s">
        <v>238</v>
      </c>
      <c r="C272" s="70">
        <f>( C266+C267 ) / 2</f>
        <v>5.1734999999999998</v>
      </c>
      <c r="D272" s="3" t="s">
        <v>11</v>
      </c>
      <c r="G272" s="6"/>
      <c r="H272" s="6"/>
      <c r="I272" s="6"/>
      <c r="J272" s="6"/>
      <c r="K272" s="6"/>
      <c r="L272" s="6"/>
      <c r="M272" s="6"/>
      <c r="N272" s="6"/>
    </row>
    <row r="273" spans="2:14" x14ac:dyDescent="0.35">
      <c r="B273" s="4" t="s">
        <v>241</v>
      </c>
      <c r="C273" s="10" t="s">
        <v>239</v>
      </c>
      <c r="G273" s="6"/>
      <c r="H273" s="6"/>
      <c r="I273" s="6"/>
      <c r="J273" s="6"/>
      <c r="K273" s="6"/>
      <c r="L273" s="6"/>
      <c r="M273" s="6"/>
      <c r="N273" s="6"/>
    </row>
    <row r="274" spans="2:14" x14ac:dyDescent="0.35">
      <c r="B274" s="4" t="s">
        <v>236</v>
      </c>
      <c r="C274" s="70">
        <f>( ( 2*C265*C267 ) * ( C265/2 ) + ( C266 + 2*C267 ) * 0 ) / C270</f>
        <v>1.2080796366096453</v>
      </c>
      <c r="D274" s="3" t="s">
        <v>11</v>
      </c>
      <c r="G274" s="6"/>
      <c r="H274" s="6"/>
      <c r="I274" s="6"/>
      <c r="J274" s="6"/>
      <c r="K274" s="6"/>
      <c r="L274" s="6"/>
      <c r="M274" s="6"/>
      <c r="N274" s="6"/>
    </row>
    <row r="275" spans="2:14" x14ac:dyDescent="0.35">
      <c r="B275" s="4" t="s">
        <v>18</v>
      </c>
      <c r="C275" s="5" t="s">
        <v>243</v>
      </c>
      <c r="G275" s="6"/>
      <c r="H275" s="6"/>
      <c r="I275" s="6"/>
      <c r="J275" s="6"/>
      <c r="K275" s="6"/>
      <c r="L275" s="6"/>
      <c r="M275" s="6"/>
      <c r="N275" s="6"/>
    </row>
    <row r="276" spans="2:14" x14ac:dyDescent="0.35">
      <c r="B276" s="4" t="s">
        <v>18</v>
      </c>
      <c r="C276" s="157">
        <f>C263</f>
        <v>8000</v>
      </c>
      <c r="D276" s="3" t="s">
        <v>15</v>
      </c>
      <c r="G276" s="6"/>
      <c r="H276" s="6"/>
      <c r="I276" s="6"/>
      <c r="J276" s="6"/>
      <c r="K276" s="6"/>
      <c r="L276" s="6"/>
      <c r="M276" s="6"/>
      <c r="N276" s="6"/>
    </row>
    <row r="277" spans="2:14" x14ac:dyDescent="0.35">
      <c r="B277" s="4" t="s">
        <v>244</v>
      </c>
      <c r="C277" s="5" t="s">
        <v>245</v>
      </c>
      <c r="G277" s="6"/>
      <c r="H277" s="6"/>
      <c r="I277" s="6"/>
      <c r="J277" s="6"/>
      <c r="K277" s="6"/>
      <c r="L277" s="6"/>
      <c r="M277" s="6"/>
      <c r="N277" s="6"/>
    </row>
    <row r="278" spans="2:14" x14ac:dyDescent="0.35">
      <c r="B278" s="4" t="s">
        <v>244</v>
      </c>
      <c r="C278" s="157">
        <f>C263*( C264+C265-C272 )</f>
        <v>158612</v>
      </c>
      <c r="D278" s="3" t="s">
        <v>182</v>
      </c>
      <c r="G278" s="6"/>
      <c r="H278" s="6"/>
      <c r="I278" s="6"/>
      <c r="J278" s="6"/>
      <c r="K278" s="6"/>
      <c r="L278" s="6"/>
      <c r="M278" s="6"/>
      <c r="N278" s="6"/>
    </row>
    <row r="279" spans="2:14" x14ac:dyDescent="0.35">
      <c r="B279" s="2" t="s">
        <v>261</v>
      </c>
      <c r="G279" s="6"/>
      <c r="H279" s="6"/>
      <c r="I279" s="6"/>
      <c r="J279" s="6"/>
      <c r="K279" s="6"/>
      <c r="L279" s="6"/>
      <c r="M279" s="6"/>
      <c r="N279" s="6"/>
    </row>
    <row r="280" spans="2:14" ht="16" thickBot="1" x14ac:dyDescent="0.4">
      <c r="B280" s="4" t="s">
        <v>364</v>
      </c>
      <c r="C280" s="5" t="s">
        <v>246</v>
      </c>
      <c r="G280" s="6"/>
      <c r="H280" s="6"/>
      <c r="I280" s="6"/>
      <c r="J280" s="6"/>
      <c r="K280" s="6"/>
      <c r="L280" s="6"/>
      <c r="M280" s="6"/>
      <c r="N280" s="6"/>
    </row>
    <row r="281" spans="2:14" ht="16" thickBot="1" x14ac:dyDescent="0.4">
      <c r="B281" s="26" t="s">
        <v>364</v>
      </c>
      <c r="C281" s="33">
        <f>3*C276 / ( 2*C270 )</f>
        <v>1671.1188056848123</v>
      </c>
      <c r="D281" s="8" t="s">
        <v>160</v>
      </c>
      <c r="G281" s="6"/>
      <c r="H281" s="6"/>
      <c r="I281" s="6"/>
      <c r="J281" s="6"/>
      <c r="K281" s="6"/>
      <c r="L281" s="6"/>
      <c r="M281" s="6"/>
      <c r="N281" s="6"/>
    </row>
    <row r="282" spans="2:14" ht="16" thickBot="1" x14ac:dyDescent="0.4">
      <c r="B282" s="4" t="s">
        <v>365</v>
      </c>
      <c r="C282" s="5" t="s">
        <v>262</v>
      </c>
      <c r="G282" s="6"/>
      <c r="H282" s="6"/>
      <c r="I282" s="6"/>
      <c r="J282" s="6"/>
      <c r="K282" s="6"/>
      <c r="L282" s="6"/>
      <c r="M282" s="6"/>
      <c r="N282" s="6"/>
    </row>
    <row r="283" spans="2:14" ht="16" thickBot="1" x14ac:dyDescent="0.4">
      <c r="B283" s="26" t="s">
        <v>264</v>
      </c>
      <c r="C283" s="33">
        <f>C281 * C267</f>
        <v>579.87822557262984</v>
      </c>
      <c r="D283" s="152" t="s">
        <v>427</v>
      </c>
      <c r="E283" s="153"/>
      <c r="G283" s="6"/>
      <c r="H283" s="6"/>
      <c r="I283" s="6"/>
      <c r="J283" s="6"/>
      <c r="K283" s="6"/>
      <c r="L283" s="6"/>
      <c r="M283" s="6"/>
      <c r="N283" s="6"/>
    </row>
    <row r="284" spans="2:14" x14ac:dyDescent="0.35">
      <c r="D284" s="153" t="s">
        <v>428</v>
      </c>
      <c r="E284" s="153"/>
      <c r="G284" s="6"/>
      <c r="H284" s="6"/>
      <c r="I284" s="6"/>
      <c r="J284" s="6"/>
      <c r="K284" s="6"/>
      <c r="L284" s="6"/>
      <c r="M284" s="6"/>
      <c r="N284" s="6"/>
    </row>
    <row r="285" spans="2:14" x14ac:dyDescent="0.35">
      <c r="B285" s="2" t="s">
        <v>253</v>
      </c>
      <c r="G285" s="6"/>
      <c r="H285" s="6"/>
      <c r="I285" s="6"/>
      <c r="J285" s="6"/>
      <c r="K285" s="6"/>
      <c r="L285" s="6"/>
      <c r="M285" s="6"/>
      <c r="N285" s="6"/>
    </row>
    <row r="286" spans="2:14" x14ac:dyDescent="0.35">
      <c r="B286" s="4" t="s">
        <v>118</v>
      </c>
      <c r="C286" s="3" t="s">
        <v>259</v>
      </c>
      <c r="D286" s="10"/>
      <c r="G286" s="6"/>
      <c r="H286" s="6"/>
      <c r="I286" s="6"/>
      <c r="J286" s="6"/>
      <c r="K286" s="6"/>
      <c r="L286" s="6"/>
      <c r="M286" s="6"/>
      <c r="N286" s="6"/>
    </row>
    <row r="287" spans="2:14" x14ac:dyDescent="0.35">
      <c r="B287" s="4" t="s">
        <v>113</v>
      </c>
      <c r="C287" s="70">
        <f>(C267*C266*( C267^2+C266^2 ) / 12)+(C266*C267*C274^2)</f>
        <v>34.015798672949728</v>
      </c>
      <c r="G287" s="6"/>
      <c r="H287" s="6"/>
      <c r="I287" s="6"/>
      <c r="J287" s="6"/>
      <c r="K287" s="6"/>
      <c r="L287" s="6"/>
      <c r="M287" s="6"/>
      <c r="N287" s="6"/>
    </row>
    <row r="288" spans="2:14" x14ac:dyDescent="0.35">
      <c r="B288" s="4" t="s">
        <v>248</v>
      </c>
      <c r="C288" s="3" t="s">
        <v>260</v>
      </c>
      <c r="G288" s="6"/>
      <c r="H288" s="6"/>
      <c r="I288" s="6"/>
      <c r="J288" s="6"/>
      <c r="K288" s="6"/>
      <c r="L288" s="6"/>
      <c r="M288" s="6"/>
      <c r="N288" s="6"/>
    </row>
    <row r="289" spans="2:14" x14ac:dyDescent="0.35">
      <c r="B289" s="4" t="s">
        <v>249</v>
      </c>
      <c r="C289" s="70">
        <f>(2*C265*C267*( C265^2+C267^2 ) / 12)+(2*C265*C267*C272^2)</f>
        <v>100.13888974333332</v>
      </c>
      <c r="G289" s="6"/>
      <c r="H289" s="6"/>
      <c r="I289" s="6"/>
      <c r="J289" s="6"/>
      <c r="K289" s="6"/>
      <c r="L289" s="6"/>
      <c r="M289" s="6"/>
      <c r="N289" s="6"/>
    </row>
    <row r="290" spans="2:14" x14ac:dyDescent="0.35">
      <c r="B290" s="4" t="s">
        <v>250</v>
      </c>
      <c r="C290" s="5" t="s">
        <v>251</v>
      </c>
      <c r="G290" s="6"/>
      <c r="H290" s="6"/>
      <c r="I290" s="6"/>
      <c r="J290" s="6"/>
      <c r="K290" s="6"/>
      <c r="L290" s="6"/>
      <c r="M290" s="6"/>
      <c r="N290" s="6"/>
    </row>
    <row r="291" spans="2:14" x14ac:dyDescent="0.35">
      <c r="B291" s="4" t="s">
        <v>252</v>
      </c>
      <c r="C291" s="151">
        <f>C287+C289</f>
        <v>134.15468841628305</v>
      </c>
      <c r="G291" s="6"/>
      <c r="H291" s="6"/>
      <c r="I291" s="6"/>
      <c r="J291" s="6"/>
      <c r="K291" s="6"/>
      <c r="L291" s="6"/>
      <c r="M291" s="6"/>
      <c r="N291" s="6"/>
    </row>
    <row r="292" spans="2:14" x14ac:dyDescent="0.35">
      <c r="B292" s="4" t="s">
        <v>256</v>
      </c>
      <c r="C292" s="3" t="s">
        <v>257</v>
      </c>
      <c r="G292" s="6"/>
      <c r="H292" s="6"/>
      <c r="I292" s="6"/>
      <c r="J292" s="6"/>
      <c r="K292" s="6"/>
      <c r="L292" s="6"/>
      <c r="M292" s="6"/>
      <c r="N292" s="6"/>
    </row>
    <row r="293" spans="2:14" x14ac:dyDescent="0.35">
      <c r="B293" s="4" t="s">
        <v>258</v>
      </c>
      <c r="C293" s="70">
        <f>( ( C265 - C274 )^2 + ( C266/ 2 )^2 )^0.5</f>
        <v>6.2752418313794447</v>
      </c>
      <c r="G293" s="6"/>
      <c r="H293" s="6"/>
      <c r="I293" s="6"/>
      <c r="J293" s="6"/>
      <c r="K293" s="6"/>
      <c r="L293" s="6"/>
      <c r="M293" s="6"/>
      <c r="N293" s="6"/>
    </row>
    <row r="294" spans="2:14" ht="16" thickBot="1" x14ac:dyDescent="0.4">
      <c r="B294" s="4" t="s">
        <v>255</v>
      </c>
      <c r="C294" s="5" t="s">
        <v>254</v>
      </c>
      <c r="G294" s="6"/>
      <c r="H294" s="6"/>
      <c r="I294" s="6"/>
      <c r="J294" s="6"/>
      <c r="K294" s="6"/>
      <c r="L294" s="6"/>
      <c r="M294" s="6"/>
      <c r="N294" s="6"/>
    </row>
    <row r="295" spans="2:14" ht="16" thickBot="1" x14ac:dyDescent="0.4">
      <c r="B295" s="26" t="s">
        <v>255</v>
      </c>
      <c r="C295" s="33">
        <f>C278*C293 / C291</f>
        <v>7419.2610717431198</v>
      </c>
      <c r="D295" s="8" t="s">
        <v>160</v>
      </c>
      <c r="G295" s="6"/>
      <c r="H295" s="6"/>
      <c r="I295" s="6"/>
      <c r="J295" s="6"/>
      <c r="K295" s="6"/>
      <c r="L295" s="6"/>
      <c r="M295" s="6"/>
      <c r="N295" s="6"/>
    </row>
    <row r="296" spans="2:14" ht="16" thickBot="1" x14ac:dyDescent="0.4">
      <c r="B296" s="4" t="s">
        <v>265</v>
      </c>
      <c r="C296" s="5" t="s">
        <v>263</v>
      </c>
      <c r="G296" s="6"/>
      <c r="H296" s="6"/>
      <c r="I296" s="6"/>
      <c r="J296" s="6"/>
      <c r="K296" s="6"/>
      <c r="L296" s="6"/>
      <c r="M296" s="6"/>
      <c r="N296" s="6"/>
    </row>
    <row r="297" spans="2:14" ht="16" thickBot="1" x14ac:dyDescent="0.4">
      <c r="B297" s="26" t="s">
        <v>39</v>
      </c>
      <c r="C297" s="33">
        <f>C295 * C267</f>
        <v>2574.4835918948625</v>
      </c>
      <c r="D297" s="8" t="s">
        <v>171</v>
      </c>
      <c r="G297" s="6"/>
      <c r="H297" s="6"/>
      <c r="I297" s="6"/>
      <c r="J297" s="6"/>
      <c r="K297" s="6"/>
      <c r="L297" s="6"/>
      <c r="M297" s="6"/>
      <c r="N297" s="6"/>
    </row>
    <row r="298" spans="2:14" x14ac:dyDescent="0.35">
      <c r="C298" s="157"/>
      <c r="G298" s="6"/>
      <c r="H298" s="6"/>
      <c r="I298" s="6"/>
      <c r="J298" s="6"/>
      <c r="K298" s="6"/>
      <c r="L298" s="6"/>
      <c r="M298" s="6"/>
      <c r="N298" s="6"/>
    </row>
    <row r="299" spans="2:14" x14ac:dyDescent="0.35">
      <c r="C299" s="5"/>
      <c r="G299" s="6"/>
      <c r="H299" s="6"/>
      <c r="I299" s="6"/>
      <c r="J299" s="6"/>
      <c r="K299" s="6"/>
      <c r="L299" s="6"/>
      <c r="M299" s="6"/>
      <c r="N299" s="6"/>
    </row>
    <row r="300" spans="2:14" x14ac:dyDescent="0.35">
      <c r="B300" s="26"/>
      <c r="C300" s="69"/>
      <c r="D300" s="8"/>
      <c r="G300" s="6"/>
      <c r="H300" s="6"/>
      <c r="I300" s="6"/>
      <c r="J300" s="6"/>
      <c r="K300" s="6"/>
      <c r="L300" s="6"/>
      <c r="M300" s="6"/>
      <c r="N300" s="6"/>
    </row>
    <row r="301" spans="2:14" x14ac:dyDescent="0.35">
      <c r="C301" s="5"/>
      <c r="G301" s="6"/>
      <c r="H301" s="6"/>
      <c r="I301" s="6"/>
      <c r="J301" s="6"/>
      <c r="K301" s="6"/>
      <c r="L301" s="6"/>
      <c r="M301" s="6"/>
      <c r="N301" s="6"/>
    </row>
    <row r="302" spans="2:14" x14ac:dyDescent="0.35">
      <c r="B302" s="26"/>
      <c r="C302" s="69"/>
      <c r="D302" s="8"/>
      <c r="G302" s="6"/>
      <c r="H302" s="6"/>
      <c r="I302" s="6"/>
      <c r="J302" s="6"/>
      <c r="K302" s="6"/>
      <c r="L302" s="6"/>
      <c r="M302" s="6"/>
      <c r="N302" s="6"/>
    </row>
    <row r="303" spans="2:14" x14ac:dyDescent="0.35">
      <c r="G303" s="6"/>
      <c r="H303" s="6"/>
      <c r="I303" s="6"/>
      <c r="J303" s="6"/>
      <c r="K303" s="6"/>
      <c r="L303" s="6"/>
      <c r="M303" s="6"/>
      <c r="N303" s="6"/>
    </row>
    <row r="304" spans="2:14" x14ac:dyDescent="0.35">
      <c r="G304" s="6"/>
      <c r="H304" s="6"/>
      <c r="I304" s="6"/>
      <c r="J304" s="6"/>
      <c r="K304" s="6"/>
      <c r="L304" s="6"/>
      <c r="M304" s="6"/>
      <c r="N304" s="6"/>
    </row>
    <row r="305" spans="3:14" x14ac:dyDescent="0.35">
      <c r="G305" s="6"/>
      <c r="H305" s="6"/>
      <c r="I305" s="6"/>
      <c r="J305" s="6"/>
      <c r="K305" s="6"/>
      <c r="L305" s="6"/>
      <c r="M305" s="6"/>
      <c r="N305" s="6"/>
    </row>
    <row r="306" spans="3:14" x14ac:dyDescent="0.35">
      <c r="F306" s="27"/>
      <c r="G306" s="6"/>
      <c r="H306" s="6"/>
      <c r="I306" s="6"/>
      <c r="J306" s="6"/>
      <c r="K306" s="6"/>
      <c r="L306" s="6"/>
      <c r="M306" s="6"/>
      <c r="N306" s="6"/>
    </row>
    <row r="307" spans="3:14" x14ac:dyDescent="0.35">
      <c r="G307" s="6"/>
      <c r="H307" s="6"/>
      <c r="I307" s="6"/>
      <c r="J307" s="6"/>
      <c r="K307" s="6"/>
      <c r="L307" s="6"/>
      <c r="M307" s="6"/>
      <c r="N307" s="6"/>
    </row>
    <row r="308" spans="3:14" x14ac:dyDescent="0.35">
      <c r="G308" s="6"/>
      <c r="H308" s="6"/>
      <c r="I308" s="6"/>
      <c r="J308" s="6"/>
      <c r="K308" s="6"/>
      <c r="L308" s="6"/>
      <c r="M308" s="6"/>
      <c r="N308" s="6"/>
    </row>
    <row r="309" spans="3:14" x14ac:dyDescent="0.35">
      <c r="G309" s="6"/>
      <c r="H309" s="6"/>
      <c r="I309" s="6"/>
      <c r="J309" s="6"/>
      <c r="K309" s="6"/>
      <c r="L309" s="6"/>
      <c r="M309" s="6"/>
      <c r="N309" s="6"/>
    </row>
    <row r="310" spans="3:14" x14ac:dyDescent="0.35">
      <c r="G310" s="6"/>
      <c r="H310" s="6"/>
      <c r="I310" s="6"/>
      <c r="J310" s="6"/>
      <c r="K310" s="6"/>
      <c r="L310" s="6"/>
      <c r="M310" s="6"/>
      <c r="N310" s="6"/>
    </row>
    <row r="311" spans="3:14" x14ac:dyDescent="0.35">
      <c r="G311" s="6"/>
      <c r="H311" s="6"/>
      <c r="I311" s="6"/>
      <c r="J311" s="6"/>
      <c r="K311" s="6"/>
      <c r="L311" s="6"/>
      <c r="M311" s="6"/>
      <c r="N311" s="6"/>
    </row>
    <row r="312" spans="3:14" x14ac:dyDescent="0.35">
      <c r="G312" s="6"/>
      <c r="H312" s="6"/>
      <c r="I312" s="6"/>
      <c r="J312" s="6"/>
      <c r="K312" s="6"/>
      <c r="L312" s="6"/>
      <c r="M312" s="6"/>
      <c r="N312" s="6"/>
    </row>
    <row r="313" spans="3:14" x14ac:dyDescent="0.35">
      <c r="G313" s="6"/>
      <c r="H313" s="6"/>
      <c r="I313" s="6"/>
      <c r="J313" s="6"/>
      <c r="K313" s="6"/>
      <c r="L313" s="6"/>
      <c r="M313" s="6"/>
      <c r="N313" s="6"/>
    </row>
    <row r="314" spans="3:14" x14ac:dyDescent="0.35">
      <c r="G314" s="6"/>
      <c r="H314" s="6"/>
      <c r="I314" s="6"/>
      <c r="J314" s="6"/>
      <c r="K314" s="6"/>
      <c r="L314" s="6"/>
      <c r="M314" s="6"/>
      <c r="N314" s="6"/>
    </row>
    <row r="315" spans="3:14" x14ac:dyDescent="0.35">
      <c r="G315" s="6"/>
      <c r="H315" s="6"/>
      <c r="I315" s="6"/>
      <c r="J315" s="6"/>
      <c r="K315" s="6"/>
      <c r="L315" s="6"/>
      <c r="M315" s="6"/>
      <c r="N315" s="6"/>
    </row>
    <row r="316" spans="3:14" x14ac:dyDescent="0.35">
      <c r="G316" s="6"/>
      <c r="H316" s="6"/>
      <c r="I316" s="6"/>
      <c r="J316" s="6"/>
      <c r="K316" s="6"/>
      <c r="L316" s="6"/>
      <c r="M316" s="6"/>
      <c r="N316" s="6"/>
    </row>
    <row r="319" spans="3:14" x14ac:dyDescent="0.35">
      <c r="C319" s="3" t="s">
        <v>515</v>
      </c>
    </row>
    <row r="357" spans="6:6" x14ac:dyDescent="0.35">
      <c r="F357" s="27" t="s">
        <v>94</v>
      </c>
    </row>
  </sheetData>
  <sheetProtection sheet="1" objects="1" scenarios="1" selectLockedCells="1"/>
  <phoneticPr fontId="2" type="noConversion"/>
  <pageMargins left="0.75" right="0.75" top="1" bottom="1" header="0.5" footer="0.5"/>
  <pageSetup orientation="portrait" horizont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226"/>
  <sheetViews>
    <sheetView workbookViewId="0">
      <selection activeCell="I1" sqref="I1"/>
    </sheetView>
  </sheetViews>
  <sheetFormatPr defaultRowHeight="15.5" x14ac:dyDescent="0.35"/>
  <cols>
    <col min="1" max="1" width="6.6328125" style="3" customWidth="1"/>
    <col min="2" max="2" width="40.7265625" style="4" customWidth="1"/>
    <col min="3" max="3" width="20.81640625" style="3" customWidth="1"/>
    <col min="4" max="4" width="14.81640625" style="3" customWidth="1"/>
    <col min="5" max="5" width="15.81640625" style="3" customWidth="1"/>
    <col min="6" max="6" width="13.26953125" style="3" customWidth="1"/>
    <col min="7" max="16384" width="8.7265625" style="3"/>
  </cols>
  <sheetData>
    <row r="1" spans="2:14" ht="18" x14ac:dyDescent="0.4">
      <c r="B1" s="81" t="s">
        <v>434</v>
      </c>
      <c r="D1" s="4"/>
      <c r="G1" s="6"/>
      <c r="H1" s="6"/>
      <c r="I1" s="6"/>
      <c r="J1" s="6"/>
      <c r="K1" s="6"/>
      <c r="L1" s="6"/>
      <c r="M1" s="6"/>
      <c r="N1" s="6"/>
    </row>
    <row r="2" spans="2:14" x14ac:dyDescent="0.35">
      <c r="B2" s="2"/>
      <c r="D2" s="5"/>
      <c r="G2" s="6"/>
      <c r="H2" s="6"/>
      <c r="I2" s="6"/>
      <c r="J2" s="6"/>
      <c r="K2" s="6"/>
      <c r="L2" s="6"/>
      <c r="M2" s="6"/>
      <c r="N2" s="6"/>
    </row>
    <row r="3" spans="2:14" x14ac:dyDescent="0.35">
      <c r="G3" s="6"/>
      <c r="H3" s="6"/>
      <c r="I3" s="6"/>
      <c r="J3" s="6"/>
      <c r="K3" s="6"/>
      <c r="L3" s="6"/>
      <c r="M3" s="6"/>
      <c r="N3" s="6"/>
    </row>
    <row r="4" spans="2:14" ht="18" x14ac:dyDescent="0.4">
      <c r="B4" s="81" t="s">
        <v>266</v>
      </c>
      <c r="G4" s="6"/>
      <c r="H4" s="6"/>
      <c r="I4" s="6"/>
      <c r="J4" s="6"/>
      <c r="K4" s="6"/>
      <c r="L4" s="6"/>
      <c r="M4" s="6"/>
      <c r="N4" s="6"/>
    </row>
    <row r="5" spans="2:14" x14ac:dyDescent="0.35">
      <c r="B5" s="46" t="s">
        <v>22</v>
      </c>
      <c r="G5" s="6"/>
      <c r="H5" s="6"/>
      <c r="I5" s="6"/>
      <c r="J5" s="6"/>
      <c r="K5" s="6"/>
      <c r="L5" s="6"/>
      <c r="M5" s="6"/>
      <c r="N5" s="6"/>
    </row>
    <row r="6" spans="2:14" x14ac:dyDescent="0.35">
      <c r="G6" s="6"/>
      <c r="H6" s="6"/>
      <c r="I6" s="6"/>
      <c r="J6" s="6"/>
      <c r="K6" s="6"/>
      <c r="L6" s="6"/>
      <c r="M6" s="6"/>
      <c r="N6" s="6"/>
    </row>
    <row r="7" spans="2:14" x14ac:dyDescent="0.35">
      <c r="G7" s="6"/>
      <c r="H7" s="6"/>
      <c r="I7" s="6"/>
      <c r="J7" s="6"/>
      <c r="K7" s="6"/>
      <c r="L7" s="6"/>
      <c r="M7" s="6"/>
      <c r="N7" s="6"/>
    </row>
    <row r="8" spans="2:14" x14ac:dyDescent="0.35">
      <c r="G8" s="6"/>
      <c r="H8" s="6"/>
      <c r="I8" s="6"/>
      <c r="J8" s="6"/>
      <c r="K8" s="6"/>
      <c r="L8" s="6"/>
      <c r="M8" s="6"/>
      <c r="N8" s="6"/>
    </row>
    <row r="9" spans="2:14" x14ac:dyDescent="0.35">
      <c r="G9" s="6"/>
      <c r="H9" s="6"/>
      <c r="I9" s="6"/>
      <c r="J9" s="6"/>
      <c r="K9" s="6"/>
      <c r="L9" s="6"/>
      <c r="M9" s="6"/>
      <c r="N9" s="6"/>
    </row>
    <row r="10" spans="2:14" x14ac:dyDescent="0.35">
      <c r="G10" s="6"/>
      <c r="H10" s="6"/>
      <c r="I10" s="6"/>
      <c r="J10" s="6"/>
      <c r="K10" s="6"/>
      <c r="L10" s="6"/>
      <c r="M10" s="6"/>
      <c r="N10" s="6"/>
    </row>
    <row r="11" spans="2:14" x14ac:dyDescent="0.35">
      <c r="G11" s="6"/>
      <c r="H11" s="6"/>
      <c r="I11" s="6"/>
      <c r="J11" s="6"/>
      <c r="K11" s="6"/>
      <c r="L11" s="6"/>
      <c r="M11" s="6"/>
      <c r="N11" s="6"/>
    </row>
    <row r="12" spans="2:14" x14ac:dyDescent="0.35">
      <c r="G12" s="6"/>
      <c r="H12" s="6"/>
      <c r="I12" s="6"/>
      <c r="J12" s="6"/>
      <c r="K12" s="6"/>
      <c r="L12" s="6"/>
      <c r="M12" s="6"/>
      <c r="N12" s="6"/>
    </row>
    <row r="13" spans="2:14" x14ac:dyDescent="0.35">
      <c r="G13" s="6"/>
      <c r="H13" s="6"/>
      <c r="I13" s="6"/>
      <c r="J13" s="6"/>
      <c r="K13" s="6"/>
      <c r="L13" s="6"/>
      <c r="M13" s="6"/>
      <c r="N13" s="6"/>
    </row>
    <row r="14" spans="2:14" x14ac:dyDescent="0.35">
      <c r="G14" s="6"/>
      <c r="H14" s="6"/>
      <c r="I14" s="6"/>
      <c r="J14" s="6"/>
      <c r="K14" s="6"/>
      <c r="L14" s="6"/>
      <c r="M14" s="6"/>
      <c r="N14" s="6"/>
    </row>
    <row r="15" spans="2:14" x14ac:dyDescent="0.35">
      <c r="G15" s="6"/>
      <c r="H15" s="6"/>
      <c r="I15" s="6"/>
      <c r="J15" s="6"/>
      <c r="K15" s="6"/>
      <c r="L15" s="6"/>
      <c r="M15" s="6"/>
      <c r="N15" s="6"/>
    </row>
    <row r="16" spans="2:14" x14ac:dyDescent="0.35">
      <c r="G16" s="6"/>
      <c r="H16" s="6"/>
      <c r="I16" s="6"/>
      <c r="J16" s="6"/>
      <c r="K16" s="6"/>
      <c r="L16" s="6"/>
      <c r="M16" s="6"/>
      <c r="N16" s="6"/>
    </row>
    <row r="17" spans="2:14" x14ac:dyDescent="0.35">
      <c r="G17" s="6"/>
      <c r="H17" s="6"/>
      <c r="I17" s="6"/>
      <c r="J17" s="6"/>
      <c r="K17" s="6"/>
      <c r="L17" s="6"/>
      <c r="M17" s="6"/>
      <c r="N17" s="6"/>
    </row>
    <row r="18" spans="2:14" x14ac:dyDescent="0.35">
      <c r="G18" s="6"/>
      <c r="H18" s="6"/>
      <c r="I18" s="6"/>
      <c r="J18" s="6"/>
      <c r="K18" s="6"/>
      <c r="L18" s="6"/>
      <c r="M18" s="6"/>
      <c r="N18" s="6"/>
    </row>
    <row r="19" spans="2:14" x14ac:dyDescent="0.35">
      <c r="G19" s="6"/>
      <c r="H19" s="6"/>
      <c r="I19" s="6"/>
      <c r="J19" s="6"/>
      <c r="K19" s="6"/>
      <c r="L19" s="6"/>
      <c r="M19" s="6"/>
      <c r="N19" s="6"/>
    </row>
    <row r="20" spans="2:14" x14ac:dyDescent="0.35">
      <c r="G20" s="6"/>
      <c r="H20" s="6"/>
      <c r="I20" s="6"/>
      <c r="J20" s="6"/>
      <c r="K20" s="6"/>
      <c r="L20" s="6"/>
      <c r="M20" s="6"/>
      <c r="N20" s="6"/>
    </row>
    <row r="21" spans="2:14" ht="16" thickBot="1" x14ac:dyDescent="0.4">
      <c r="B21" s="2" t="s">
        <v>271</v>
      </c>
      <c r="C21" s="14" t="s">
        <v>7</v>
      </c>
      <c r="G21" s="6"/>
      <c r="H21" s="52"/>
      <c r="I21" s="58"/>
      <c r="J21" s="6"/>
      <c r="K21" s="6"/>
      <c r="L21" s="6"/>
      <c r="M21" s="6"/>
      <c r="N21" s="6"/>
    </row>
    <row r="22" spans="2:14" x14ac:dyDescent="0.35">
      <c r="B22" s="4" t="s">
        <v>410</v>
      </c>
      <c r="C22" s="17">
        <v>200000</v>
      </c>
      <c r="D22" s="3" t="s">
        <v>15</v>
      </c>
      <c r="G22" s="6"/>
      <c r="H22" s="6"/>
      <c r="I22" s="6"/>
      <c r="J22" s="6"/>
      <c r="K22" s="6"/>
      <c r="L22" s="6"/>
      <c r="M22" s="6"/>
      <c r="N22" s="6"/>
    </row>
    <row r="23" spans="2:14" x14ac:dyDescent="0.35">
      <c r="B23" s="4" t="s">
        <v>287</v>
      </c>
      <c r="C23" s="19">
        <v>13600</v>
      </c>
      <c r="D23" s="3" t="s">
        <v>21</v>
      </c>
      <c r="G23" s="6"/>
      <c r="H23" s="6"/>
      <c r="I23" s="6"/>
      <c r="J23" s="6"/>
      <c r="K23" s="6"/>
      <c r="L23" s="6"/>
      <c r="M23" s="6"/>
      <c r="N23" s="6"/>
    </row>
    <row r="24" spans="2:14" x14ac:dyDescent="0.35">
      <c r="B24" s="4" t="s">
        <v>332</v>
      </c>
      <c r="C24" s="19">
        <v>3</v>
      </c>
      <c r="D24" s="3" t="s">
        <v>11</v>
      </c>
      <c r="G24" s="6"/>
      <c r="H24" s="6"/>
      <c r="I24" s="6"/>
      <c r="J24" s="6"/>
      <c r="K24" s="6"/>
      <c r="L24" s="6"/>
      <c r="M24" s="6"/>
      <c r="N24" s="6"/>
    </row>
    <row r="25" spans="2:14" x14ac:dyDescent="0.35">
      <c r="B25" s="4" t="s">
        <v>267</v>
      </c>
      <c r="C25" s="160">
        <v>50</v>
      </c>
      <c r="D25" s="3" t="s">
        <v>11</v>
      </c>
      <c r="G25" s="6"/>
      <c r="H25" s="6"/>
      <c r="I25" s="6"/>
      <c r="J25" s="6"/>
      <c r="K25" s="6"/>
      <c r="L25" s="6"/>
      <c r="M25" s="6"/>
      <c r="N25" s="6"/>
    </row>
    <row r="26" spans="2:14" x14ac:dyDescent="0.35">
      <c r="B26" s="4" t="s">
        <v>149</v>
      </c>
      <c r="C26" s="160">
        <v>36</v>
      </c>
      <c r="D26" s="3" t="s">
        <v>11</v>
      </c>
      <c r="G26" s="6"/>
      <c r="H26" s="6"/>
      <c r="I26" s="6"/>
      <c r="J26" s="6"/>
      <c r="K26" s="6"/>
      <c r="L26" s="6"/>
      <c r="M26" s="6"/>
      <c r="N26" s="6"/>
    </row>
    <row r="27" spans="2:14" x14ac:dyDescent="0.35">
      <c r="B27" s="4" t="s">
        <v>268</v>
      </c>
      <c r="C27" s="160">
        <v>12</v>
      </c>
      <c r="D27" s="3" t="s">
        <v>11</v>
      </c>
      <c r="G27" s="6"/>
      <c r="H27" s="6"/>
      <c r="I27" s="6"/>
      <c r="J27" s="6"/>
      <c r="K27" s="6"/>
      <c r="L27" s="6"/>
      <c r="M27" s="6"/>
      <c r="N27" s="6"/>
    </row>
    <row r="28" spans="2:14" x14ac:dyDescent="0.35">
      <c r="B28" s="4" t="s">
        <v>270</v>
      </c>
      <c r="C28" s="21">
        <v>2.5</v>
      </c>
      <c r="D28" s="3" t="s">
        <v>11</v>
      </c>
      <c r="G28" s="6"/>
      <c r="H28" s="6"/>
      <c r="I28" s="6"/>
      <c r="J28" s="6"/>
      <c r="K28" s="6"/>
      <c r="L28" s="6"/>
      <c r="M28" s="6"/>
      <c r="N28" s="6"/>
    </row>
    <row r="29" spans="2:14" ht="16" thickBot="1" x14ac:dyDescent="0.4">
      <c r="B29" s="4" t="s">
        <v>269</v>
      </c>
      <c r="C29" s="156">
        <v>0.625</v>
      </c>
      <c r="D29" s="3" t="s">
        <v>11</v>
      </c>
      <c r="G29" s="6"/>
      <c r="H29" s="6"/>
      <c r="I29" s="6"/>
      <c r="J29" s="6"/>
      <c r="K29" s="6"/>
      <c r="L29" s="6"/>
      <c r="M29" s="6"/>
      <c r="N29" s="6"/>
    </row>
    <row r="30" spans="2:14" x14ac:dyDescent="0.35">
      <c r="C30" s="14" t="s">
        <v>8</v>
      </c>
      <c r="G30" s="6"/>
      <c r="H30" s="6"/>
      <c r="I30" s="6"/>
      <c r="J30" s="6"/>
      <c r="K30" s="6"/>
      <c r="L30" s="6"/>
      <c r="M30" s="6"/>
      <c r="N30" s="6"/>
    </row>
    <row r="31" spans="2:14" x14ac:dyDescent="0.35">
      <c r="B31" s="4" t="s">
        <v>284</v>
      </c>
      <c r="C31" s="5" t="s">
        <v>285</v>
      </c>
      <c r="G31" s="6"/>
      <c r="H31" s="6"/>
      <c r="I31" s="6"/>
      <c r="J31" s="6"/>
      <c r="K31" s="6"/>
      <c r="L31" s="6"/>
      <c r="M31" s="6"/>
      <c r="N31" s="6"/>
    </row>
    <row r="32" spans="2:14" x14ac:dyDescent="0.35">
      <c r="B32" s="4" t="s">
        <v>235</v>
      </c>
      <c r="C32" s="5">
        <f>C27 * C28</f>
        <v>30</v>
      </c>
      <c r="D32" s="3" t="s">
        <v>164</v>
      </c>
      <c r="G32" s="6"/>
      <c r="H32" s="6"/>
      <c r="I32" s="6"/>
      <c r="J32" s="6"/>
      <c r="K32" s="6"/>
      <c r="L32" s="6"/>
      <c r="M32" s="6"/>
      <c r="N32" s="6"/>
    </row>
    <row r="33" spans="2:14" x14ac:dyDescent="0.35">
      <c r="B33" s="4" t="s">
        <v>275</v>
      </c>
      <c r="C33" s="5" t="s">
        <v>272</v>
      </c>
      <c r="G33" s="6"/>
      <c r="H33" s="6"/>
      <c r="I33" s="6"/>
      <c r="J33" s="6"/>
      <c r="K33" s="6"/>
      <c r="L33" s="6"/>
      <c r="M33" s="6"/>
      <c r="N33" s="6"/>
    </row>
    <row r="34" spans="2:14" x14ac:dyDescent="0.35">
      <c r="B34" s="4" t="s">
        <v>275</v>
      </c>
      <c r="C34" s="5">
        <f>( C26/2 - C28 )</f>
        <v>15.5</v>
      </c>
      <c r="G34" s="6"/>
      <c r="H34" s="6"/>
      <c r="I34" s="6"/>
      <c r="J34" s="6"/>
      <c r="K34" s="6"/>
      <c r="L34" s="6"/>
      <c r="M34" s="6"/>
      <c r="N34" s="6"/>
    </row>
    <row r="35" spans="2:14" x14ac:dyDescent="0.35">
      <c r="B35" s="4" t="s">
        <v>273</v>
      </c>
      <c r="C35" s="5" t="s">
        <v>274</v>
      </c>
      <c r="G35" s="6"/>
      <c r="H35" s="6"/>
      <c r="I35" s="6"/>
      <c r="J35" s="6"/>
      <c r="K35" s="6"/>
      <c r="L35" s="6"/>
      <c r="M35" s="6"/>
      <c r="N35" s="6"/>
    </row>
    <row r="36" spans="2:14" x14ac:dyDescent="0.35">
      <c r="B36" s="4" t="s">
        <v>273</v>
      </c>
      <c r="C36" s="5">
        <f>( C26/2 - C28/2 )</f>
        <v>16.75</v>
      </c>
      <c r="D36" s="3" t="s">
        <v>11</v>
      </c>
      <c r="G36" s="6"/>
      <c r="H36" s="6"/>
      <c r="I36" s="6"/>
      <c r="J36" s="6"/>
      <c r="K36" s="6"/>
      <c r="L36" s="6"/>
      <c r="M36" s="6"/>
      <c r="N36" s="6"/>
    </row>
    <row r="37" spans="2:14" x14ac:dyDescent="0.35">
      <c r="B37" s="4" t="s">
        <v>280</v>
      </c>
      <c r="C37" s="3" t="s">
        <v>279</v>
      </c>
      <c r="G37" s="6"/>
      <c r="H37" s="52"/>
      <c r="I37" s="58"/>
      <c r="J37" s="6"/>
      <c r="K37" s="6"/>
      <c r="L37" s="6"/>
      <c r="M37" s="6"/>
      <c r="N37" s="6"/>
    </row>
    <row r="38" spans="2:14" x14ac:dyDescent="0.35">
      <c r="B38" s="4" t="s">
        <v>278</v>
      </c>
      <c r="C38" s="157">
        <f>( C27*C26^3 / 12 ) - ( ( C27-C29)*(2*C34)^3/12 )</f>
        <v>18416.614583333332</v>
      </c>
      <c r="D38" s="3" t="s">
        <v>158</v>
      </c>
      <c r="G38" s="6"/>
      <c r="H38" s="52"/>
      <c r="I38" s="58"/>
      <c r="J38" s="6"/>
      <c r="K38" s="6"/>
      <c r="L38" s="6"/>
      <c r="M38" s="6"/>
      <c r="N38" s="6"/>
    </row>
    <row r="39" spans="2:14" ht="16" thickBot="1" x14ac:dyDescent="0.4">
      <c r="B39" s="26" t="s">
        <v>276</v>
      </c>
      <c r="C39" s="27" t="s">
        <v>277</v>
      </c>
      <c r="G39" s="6"/>
      <c r="H39" s="52"/>
      <c r="I39" s="161"/>
      <c r="J39" s="6"/>
      <c r="K39" s="6"/>
      <c r="L39" s="6"/>
      <c r="M39" s="6"/>
      <c r="N39" s="6"/>
    </row>
    <row r="40" spans="2:14" ht="16" thickBot="1" x14ac:dyDescent="0.4">
      <c r="B40" s="26" t="s">
        <v>281</v>
      </c>
      <c r="C40" s="33">
        <f>C22 * C32 * C36 / ( C29 * C38 )</f>
        <v>8731.2464118959615</v>
      </c>
      <c r="D40" s="8" t="s">
        <v>21</v>
      </c>
      <c r="G40" s="6"/>
      <c r="H40" s="52"/>
      <c r="I40" s="58"/>
      <c r="J40" s="6"/>
      <c r="K40" s="6"/>
      <c r="L40" s="6"/>
      <c r="M40" s="6"/>
      <c r="N40" s="6"/>
    </row>
    <row r="41" spans="2:14" x14ac:dyDescent="0.35">
      <c r="B41" s="2" t="s">
        <v>286</v>
      </c>
      <c r="C41" s="3" t="s">
        <v>22</v>
      </c>
      <c r="G41" s="6"/>
      <c r="H41" s="89"/>
      <c r="I41" s="65"/>
      <c r="J41" s="22"/>
      <c r="K41" s="6"/>
      <c r="L41" s="6"/>
      <c r="M41" s="6"/>
      <c r="N41" s="6"/>
    </row>
    <row r="42" spans="2:14" x14ac:dyDescent="0.35">
      <c r="B42" s="4" t="s">
        <v>288</v>
      </c>
      <c r="C42" s="67">
        <v>1</v>
      </c>
      <c r="D42" s="3" t="s">
        <v>11</v>
      </c>
      <c r="E42" s="3" t="s">
        <v>22</v>
      </c>
      <c r="G42" s="6"/>
      <c r="H42" s="6"/>
      <c r="I42" s="6"/>
      <c r="J42" s="6"/>
      <c r="K42" s="6"/>
      <c r="L42" s="6"/>
      <c r="M42" s="6"/>
      <c r="N42" s="6"/>
    </row>
    <row r="43" spans="2:14" ht="16" thickBot="1" x14ac:dyDescent="0.4">
      <c r="B43" s="4" t="s">
        <v>283</v>
      </c>
      <c r="C43" s="5" t="s">
        <v>294</v>
      </c>
      <c r="G43" s="6"/>
      <c r="H43" s="6"/>
      <c r="I43" s="6"/>
      <c r="J43" s="6"/>
      <c r="K43" s="6"/>
      <c r="L43" s="6"/>
      <c r="M43" s="6"/>
      <c r="N43" s="6"/>
    </row>
    <row r="44" spans="2:14" x14ac:dyDescent="0.35">
      <c r="B44" s="26" t="s">
        <v>172</v>
      </c>
      <c r="C44" s="69">
        <f>C40 *0.707* C42/2</f>
        <v>3086.4956066052223</v>
      </c>
      <c r="D44" s="8" t="s">
        <v>282</v>
      </c>
      <c r="E44" s="162" t="s">
        <v>297</v>
      </c>
      <c r="F44" s="162" t="s">
        <v>298</v>
      </c>
      <c r="G44" s="6"/>
      <c r="H44" s="6"/>
      <c r="I44" s="6"/>
      <c r="J44" s="6"/>
      <c r="K44" s="6"/>
      <c r="L44" s="6"/>
      <c r="M44" s="6"/>
      <c r="N44" s="6"/>
    </row>
    <row r="45" spans="2:14" ht="16" thickBot="1" x14ac:dyDescent="0.4">
      <c r="B45" s="4" t="s">
        <v>289</v>
      </c>
      <c r="C45" s="5" t="s">
        <v>290</v>
      </c>
      <c r="E45" s="163" t="s">
        <v>300</v>
      </c>
      <c r="F45" s="163" t="s">
        <v>299</v>
      </c>
      <c r="G45" s="6"/>
      <c r="H45" s="6"/>
      <c r="I45" s="6"/>
      <c r="J45" s="6"/>
      <c r="K45" s="6"/>
      <c r="L45" s="6"/>
      <c r="M45" s="6"/>
      <c r="N45" s="6"/>
    </row>
    <row r="46" spans="2:14" x14ac:dyDescent="0.35">
      <c r="B46" s="4" t="s">
        <v>291</v>
      </c>
      <c r="C46" s="157">
        <f>C44 / C42</f>
        <v>3086.4956066052223</v>
      </c>
      <c r="D46" s="8" t="s">
        <v>21</v>
      </c>
      <c r="E46" s="164" t="s">
        <v>301</v>
      </c>
      <c r="F46" s="164" t="s">
        <v>308</v>
      </c>
      <c r="G46" s="6"/>
      <c r="H46" s="6"/>
      <c r="I46" s="6"/>
      <c r="J46" s="6"/>
      <c r="K46" s="6"/>
      <c r="L46" s="6"/>
      <c r="M46" s="6"/>
      <c r="N46" s="6"/>
    </row>
    <row r="47" spans="2:14" x14ac:dyDescent="0.35">
      <c r="B47" s="4" t="s">
        <v>292</v>
      </c>
      <c r="C47" s="5">
        <f>C23</f>
        <v>13600</v>
      </c>
      <c r="D47" s="8" t="s">
        <v>21</v>
      </c>
      <c r="E47" s="164" t="s">
        <v>302</v>
      </c>
      <c r="F47" s="164" t="s">
        <v>307</v>
      </c>
      <c r="G47" s="6"/>
      <c r="H47" s="52"/>
      <c r="I47" s="6"/>
      <c r="J47" s="6"/>
      <c r="K47" s="6"/>
      <c r="L47" s="6"/>
      <c r="M47" s="6"/>
      <c r="N47" s="6"/>
    </row>
    <row r="48" spans="2:14" x14ac:dyDescent="0.35">
      <c r="B48" s="4" t="s">
        <v>313</v>
      </c>
      <c r="C48" s="5" t="s">
        <v>293</v>
      </c>
      <c r="E48" s="164" t="s">
        <v>303</v>
      </c>
      <c r="F48" s="164" t="s">
        <v>309</v>
      </c>
      <c r="G48" s="6"/>
      <c r="H48" s="52"/>
      <c r="I48" s="64"/>
      <c r="J48" s="6"/>
      <c r="K48" s="6"/>
      <c r="L48" s="6"/>
      <c r="M48" s="6"/>
      <c r="N48" s="6"/>
    </row>
    <row r="49" spans="2:14" ht="16" thickBot="1" x14ac:dyDescent="0.4">
      <c r="B49" s="4" t="s">
        <v>314</v>
      </c>
      <c r="C49" s="70">
        <f>C46 / C47</f>
        <v>0.22694820636803106</v>
      </c>
      <c r="D49" s="3" t="s">
        <v>11</v>
      </c>
      <c r="E49" s="164" t="s">
        <v>304</v>
      </c>
      <c r="F49" s="164" t="s">
        <v>310</v>
      </c>
      <c r="G49" s="6"/>
      <c r="H49" s="52"/>
      <c r="I49" s="58"/>
      <c r="J49" s="6"/>
      <c r="K49" s="6"/>
      <c r="L49" s="6"/>
      <c r="M49" s="6"/>
      <c r="N49" s="6"/>
    </row>
    <row r="50" spans="2:14" ht="16" thickBot="1" x14ac:dyDescent="0.4">
      <c r="B50" s="26" t="s">
        <v>333</v>
      </c>
      <c r="C50" s="165">
        <v>0.375</v>
      </c>
      <c r="D50" s="8" t="s">
        <v>11</v>
      </c>
      <c r="E50" s="164" t="s">
        <v>305</v>
      </c>
      <c r="F50" s="164" t="s">
        <v>311</v>
      </c>
      <c r="G50" s="6"/>
      <c r="H50" s="52"/>
      <c r="I50" s="64"/>
      <c r="J50" s="6"/>
      <c r="K50" s="6"/>
      <c r="L50" s="6"/>
      <c r="M50" s="6"/>
      <c r="N50" s="6"/>
    </row>
    <row r="51" spans="2:14" ht="16" thickBot="1" x14ac:dyDescent="0.4">
      <c r="B51" s="34" t="s">
        <v>315</v>
      </c>
      <c r="E51" s="148" t="s">
        <v>306</v>
      </c>
      <c r="F51" s="148" t="s">
        <v>312</v>
      </c>
      <c r="G51" s="6"/>
      <c r="H51" s="6"/>
      <c r="I51" s="6"/>
      <c r="J51" s="6"/>
      <c r="K51" s="6"/>
      <c r="L51" s="6"/>
      <c r="M51" s="6"/>
      <c r="N51" s="6"/>
    </row>
    <row r="52" spans="2:14" x14ac:dyDescent="0.35">
      <c r="B52" s="34" t="s">
        <v>516</v>
      </c>
      <c r="F52" s="27"/>
      <c r="G52" s="6"/>
      <c r="H52" s="6"/>
      <c r="I52" s="6"/>
      <c r="J52" s="6"/>
      <c r="K52" s="6"/>
      <c r="L52" s="6"/>
      <c r="M52" s="6"/>
      <c r="N52" s="6"/>
    </row>
    <row r="53" spans="2:14" x14ac:dyDescent="0.35">
      <c r="G53" s="6"/>
      <c r="H53" s="6"/>
      <c r="I53" s="6"/>
      <c r="J53" s="6"/>
      <c r="K53" s="6"/>
      <c r="L53" s="6"/>
      <c r="M53" s="6"/>
      <c r="N53" s="6"/>
    </row>
    <row r="54" spans="2:14" x14ac:dyDescent="0.35">
      <c r="B54" s="2" t="s">
        <v>371</v>
      </c>
      <c r="C54" s="14" t="s">
        <v>8</v>
      </c>
      <c r="G54" s="6"/>
      <c r="H54" s="6"/>
      <c r="I54" s="6"/>
      <c r="J54" s="6"/>
      <c r="K54" s="6"/>
      <c r="L54" s="6"/>
      <c r="M54" s="6"/>
      <c r="N54" s="6"/>
    </row>
    <row r="55" spans="2:14" x14ac:dyDescent="0.35">
      <c r="B55" s="4" t="s">
        <v>316</v>
      </c>
      <c r="C55" s="3" t="s">
        <v>317</v>
      </c>
      <c r="G55" s="6"/>
      <c r="H55" s="6"/>
      <c r="I55" s="6"/>
      <c r="J55" s="6"/>
      <c r="K55" s="6"/>
      <c r="L55" s="6"/>
      <c r="M55" s="6"/>
      <c r="N55" s="6"/>
    </row>
    <row r="56" spans="2:14" x14ac:dyDescent="0.35">
      <c r="B56" s="4" t="s">
        <v>318</v>
      </c>
      <c r="C56" s="5" t="s">
        <v>319</v>
      </c>
      <c r="D56" s="137"/>
      <c r="E56" s="144"/>
      <c r="G56" s="6" t="s">
        <v>22</v>
      </c>
      <c r="H56" s="6"/>
      <c r="I56" s="6"/>
      <c r="J56" s="6"/>
      <c r="K56" s="6"/>
      <c r="L56" s="6"/>
      <c r="M56" s="6"/>
      <c r="N56" s="6"/>
    </row>
    <row r="57" spans="2:14" x14ac:dyDescent="0.35">
      <c r="B57" s="4" t="s">
        <v>318</v>
      </c>
      <c r="C57" s="68">
        <f>C49/C50</f>
        <v>0.60519521698141621</v>
      </c>
      <c r="D57" s="137"/>
      <c r="E57" s="144"/>
      <c r="G57" s="6"/>
      <c r="H57" s="6"/>
      <c r="I57" s="6"/>
      <c r="J57" s="6"/>
      <c r="K57" s="6"/>
      <c r="L57" s="6"/>
      <c r="M57" s="6"/>
      <c r="N57" s="6"/>
    </row>
    <row r="58" spans="2:14" x14ac:dyDescent="0.35">
      <c r="B58" s="4" t="s">
        <v>322</v>
      </c>
      <c r="C58" s="5" t="s">
        <v>321</v>
      </c>
      <c r="D58" s="77"/>
      <c r="E58" s="39"/>
      <c r="G58" s="6"/>
      <c r="H58" s="6"/>
      <c r="I58" s="6"/>
      <c r="J58" s="6"/>
      <c r="K58" s="6"/>
      <c r="L58" s="6"/>
      <c r="M58" s="6"/>
      <c r="N58" s="6"/>
    </row>
    <row r="59" spans="2:14" x14ac:dyDescent="0.35">
      <c r="B59" s="4" t="s">
        <v>323</v>
      </c>
      <c r="C59" s="157">
        <f>C57 * C25</f>
        <v>30.259760849070812</v>
      </c>
      <c r="D59" s="77" t="s">
        <v>11</v>
      </c>
      <c r="E59" s="39"/>
      <c r="G59" s="6"/>
      <c r="H59" s="6"/>
      <c r="I59" s="6"/>
      <c r="J59" s="6"/>
      <c r="K59" s="6"/>
      <c r="L59" s="6"/>
      <c r="M59" s="6"/>
      <c r="N59" s="6"/>
    </row>
    <row r="60" spans="2:14" x14ac:dyDescent="0.35">
      <c r="B60" s="4" t="s">
        <v>326</v>
      </c>
      <c r="C60" s="5" t="s">
        <v>324</v>
      </c>
      <c r="D60" s="77"/>
      <c r="E60" s="39"/>
      <c r="G60" s="6"/>
      <c r="H60" s="6"/>
      <c r="I60" s="6"/>
      <c r="J60" s="6"/>
      <c r="K60" s="6"/>
      <c r="L60" s="6"/>
      <c r="M60" s="6"/>
      <c r="N60" s="6"/>
    </row>
    <row r="61" spans="2:14" x14ac:dyDescent="0.35">
      <c r="B61" s="4" t="s">
        <v>325</v>
      </c>
      <c r="C61" s="157">
        <f>C25 - C59</f>
        <v>19.740239150929188</v>
      </c>
      <c r="D61" s="77" t="s">
        <v>11</v>
      </c>
      <c r="E61" s="39"/>
      <c r="G61" s="6"/>
      <c r="H61" s="6"/>
      <c r="I61" s="6"/>
      <c r="J61" s="6"/>
      <c r="K61" s="6"/>
      <c r="L61" s="6"/>
      <c r="M61" s="6"/>
      <c r="N61" s="6"/>
    </row>
    <row r="62" spans="2:14" x14ac:dyDescent="0.35">
      <c r="B62" s="26" t="s">
        <v>327</v>
      </c>
      <c r="C62" s="27">
        <f>C24</f>
        <v>3</v>
      </c>
      <c r="D62" s="137" t="s">
        <v>11</v>
      </c>
      <c r="E62" s="39"/>
      <c r="G62" s="6"/>
      <c r="H62" s="6"/>
      <c r="I62" s="6"/>
      <c r="J62" s="6"/>
      <c r="K62" s="6"/>
      <c r="L62" s="6"/>
      <c r="M62" s="6"/>
      <c r="N62" s="6"/>
    </row>
    <row r="63" spans="2:14" x14ac:dyDescent="0.35">
      <c r="B63" s="4" t="s">
        <v>328</v>
      </c>
      <c r="C63" s="5" t="s">
        <v>329</v>
      </c>
      <c r="D63" s="77"/>
      <c r="E63" s="39"/>
      <c r="G63" s="6"/>
      <c r="H63" s="6"/>
      <c r="I63" s="6"/>
      <c r="J63" s="6"/>
      <c r="K63" s="6"/>
      <c r="L63" s="6"/>
      <c r="M63" s="6"/>
      <c r="N63" s="6"/>
    </row>
    <row r="64" spans="2:14" x14ac:dyDescent="0.35">
      <c r="B64" s="4" t="s">
        <v>330</v>
      </c>
      <c r="C64" s="157">
        <f>C59 / C62</f>
        <v>10.08658694969027</v>
      </c>
      <c r="D64" s="166" t="s">
        <v>331</v>
      </c>
      <c r="E64" s="5"/>
      <c r="G64" s="6"/>
      <c r="H64" s="6"/>
      <c r="I64" s="6"/>
      <c r="J64" s="6"/>
      <c r="K64" s="6"/>
      <c r="L64" s="6"/>
      <c r="M64" s="6"/>
      <c r="N64" s="6"/>
    </row>
    <row r="65" spans="2:14" x14ac:dyDescent="0.35">
      <c r="B65" s="26" t="s">
        <v>320</v>
      </c>
      <c r="C65" s="2" t="s">
        <v>334</v>
      </c>
      <c r="D65" s="2"/>
      <c r="E65" s="5"/>
      <c r="G65" s="6"/>
      <c r="H65" s="6"/>
      <c r="I65" s="6"/>
      <c r="J65" s="6"/>
      <c r="K65" s="6"/>
      <c r="L65" s="6"/>
      <c r="M65" s="6"/>
      <c r="N65" s="6"/>
    </row>
    <row r="66" spans="2:14" x14ac:dyDescent="0.35">
      <c r="B66" s="26" t="s">
        <v>14</v>
      </c>
      <c r="C66" s="167">
        <f>(C59/C64) +( C61 / ( C64 - 1 ))</f>
        <v>5.1724591708883683</v>
      </c>
      <c r="D66" s="2" t="s">
        <v>11</v>
      </c>
      <c r="E66" s="5"/>
      <c r="G66" s="6"/>
      <c r="H66" s="6"/>
      <c r="I66" s="6"/>
      <c r="J66" s="6"/>
      <c r="K66" s="6"/>
      <c r="L66" s="6"/>
      <c r="M66" s="6"/>
      <c r="N66" s="6"/>
    </row>
    <row r="67" spans="2:14" x14ac:dyDescent="0.35">
      <c r="B67" s="2" t="s">
        <v>335</v>
      </c>
      <c r="C67" s="5"/>
      <c r="D67" s="10"/>
      <c r="G67" s="6"/>
      <c r="H67" s="6"/>
      <c r="I67" s="6"/>
      <c r="J67" s="6"/>
      <c r="K67" s="6"/>
      <c r="L67" s="6"/>
      <c r="M67" s="6"/>
      <c r="N67" s="6"/>
    </row>
    <row r="68" spans="2:14" x14ac:dyDescent="0.35">
      <c r="B68" s="45" t="s">
        <v>343</v>
      </c>
      <c r="C68" s="5"/>
      <c r="D68" s="10"/>
      <c r="G68" s="6"/>
      <c r="H68" s="6"/>
      <c r="I68" s="6"/>
      <c r="J68" s="6"/>
      <c r="K68" s="6"/>
      <c r="L68" s="6"/>
      <c r="M68" s="6"/>
      <c r="N68" s="6"/>
    </row>
    <row r="69" spans="2:14" x14ac:dyDescent="0.35">
      <c r="B69" s="10" t="s">
        <v>344</v>
      </c>
      <c r="C69" s="5"/>
      <c r="D69" s="10"/>
      <c r="G69" s="6"/>
      <c r="H69" s="6"/>
      <c r="I69" s="6"/>
      <c r="J69" s="6"/>
      <c r="K69" s="6"/>
      <c r="L69" s="6"/>
      <c r="M69" s="6"/>
      <c r="N69" s="6"/>
    </row>
    <row r="70" spans="2:14" x14ac:dyDescent="0.35">
      <c r="C70" s="5"/>
      <c r="D70" s="10"/>
      <c r="G70" s="6"/>
      <c r="H70" s="6"/>
      <c r="I70" s="6"/>
      <c r="J70" s="6"/>
      <c r="K70" s="6"/>
      <c r="L70" s="6"/>
      <c r="M70" s="6"/>
      <c r="N70" s="6"/>
    </row>
    <row r="71" spans="2:14" x14ac:dyDescent="0.35">
      <c r="B71" s="10" t="s">
        <v>345</v>
      </c>
      <c r="C71" s="5"/>
      <c r="D71" s="10"/>
      <c r="G71" s="6"/>
      <c r="H71" s="6"/>
      <c r="I71" s="6"/>
      <c r="J71" s="6"/>
      <c r="K71" s="6"/>
      <c r="L71" s="6"/>
      <c r="M71" s="6"/>
      <c r="N71" s="6"/>
    </row>
    <row r="72" spans="2:14" x14ac:dyDescent="0.35">
      <c r="B72" s="10" t="s">
        <v>346</v>
      </c>
      <c r="D72" s="10"/>
      <c r="G72" s="6"/>
      <c r="H72" s="6"/>
      <c r="I72" s="6"/>
      <c r="J72" s="6"/>
      <c r="K72" s="6"/>
      <c r="L72" s="6"/>
      <c r="M72" s="6"/>
      <c r="N72" s="6"/>
    </row>
    <row r="73" spans="2:14" x14ac:dyDescent="0.35">
      <c r="B73" s="10" t="s">
        <v>296</v>
      </c>
      <c r="D73" s="10"/>
      <c r="G73" s="6"/>
      <c r="H73" s="6"/>
      <c r="I73" s="6"/>
      <c r="J73" s="6"/>
      <c r="K73" s="6"/>
      <c r="L73" s="6"/>
      <c r="M73" s="6"/>
      <c r="N73" s="6"/>
    </row>
    <row r="74" spans="2:14" x14ac:dyDescent="0.35">
      <c r="B74" s="10"/>
      <c r="D74" s="10"/>
      <c r="G74" s="6"/>
      <c r="H74" s="6"/>
      <c r="I74" s="6"/>
      <c r="J74" s="6"/>
      <c r="K74" s="6"/>
      <c r="L74" s="6"/>
      <c r="M74" s="6"/>
      <c r="N74" s="6"/>
    </row>
    <row r="75" spans="2:14" x14ac:dyDescent="0.35">
      <c r="B75" s="10" t="s">
        <v>372</v>
      </c>
      <c r="D75" s="10"/>
      <c r="G75" s="6"/>
      <c r="H75" s="6"/>
      <c r="I75" s="6"/>
      <c r="J75" s="6"/>
      <c r="K75" s="6"/>
      <c r="L75" s="6"/>
      <c r="M75" s="6"/>
      <c r="N75" s="6"/>
    </row>
    <row r="76" spans="2:14" x14ac:dyDescent="0.35">
      <c r="B76" s="10" t="s">
        <v>295</v>
      </c>
      <c r="D76" s="10"/>
      <c r="G76" s="6"/>
      <c r="H76" s="6"/>
      <c r="I76" s="6"/>
      <c r="J76" s="6"/>
      <c r="K76" s="6"/>
      <c r="L76" s="6"/>
      <c r="M76" s="6"/>
      <c r="N76" s="6"/>
    </row>
    <row r="77" spans="2:14" x14ac:dyDescent="0.35">
      <c r="B77" s="2"/>
      <c r="G77" s="6"/>
      <c r="H77" s="6"/>
      <c r="I77" s="6"/>
      <c r="J77" s="6"/>
      <c r="K77" s="6"/>
      <c r="L77" s="6"/>
      <c r="M77" s="6"/>
      <c r="N77" s="6"/>
    </row>
    <row r="78" spans="2:14" x14ac:dyDescent="0.35">
      <c r="G78" s="6"/>
      <c r="H78" s="6"/>
      <c r="I78" s="6"/>
      <c r="J78" s="6"/>
      <c r="K78" s="6"/>
      <c r="L78" s="6"/>
      <c r="M78" s="6"/>
      <c r="N78" s="6"/>
    </row>
    <row r="79" spans="2:14" x14ac:dyDescent="0.35">
      <c r="B79" s="2"/>
      <c r="C79" s="3" t="s">
        <v>515</v>
      </c>
      <c r="G79" s="6"/>
      <c r="H79" s="6"/>
      <c r="I79" s="6"/>
      <c r="J79" s="6"/>
      <c r="K79" s="6"/>
      <c r="L79" s="6"/>
      <c r="M79" s="6"/>
      <c r="N79" s="6"/>
    </row>
    <row r="80" spans="2:14" x14ac:dyDescent="0.35">
      <c r="B80" s="10"/>
      <c r="G80" s="6"/>
      <c r="H80" s="6"/>
      <c r="I80" s="6"/>
      <c r="J80" s="6"/>
      <c r="K80" s="6"/>
      <c r="L80" s="6"/>
      <c r="M80" s="6"/>
      <c r="N80" s="6"/>
    </row>
    <row r="81" spans="2:14" x14ac:dyDescent="0.35">
      <c r="G81" s="6"/>
      <c r="H81" s="6"/>
      <c r="I81" s="6"/>
      <c r="J81" s="6"/>
      <c r="K81" s="6"/>
      <c r="L81" s="6"/>
      <c r="M81" s="6"/>
      <c r="N81" s="6"/>
    </row>
    <row r="82" spans="2:14" x14ac:dyDescent="0.35">
      <c r="B82" s="10"/>
      <c r="G82" s="6"/>
      <c r="H82" s="6"/>
      <c r="I82" s="6"/>
      <c r="J82" s="6"/>
      <c r="K82" s="6"/>
      <c r="L82" s="6"/>
      <c r="M82" s="6"/>
      <c r="N82" s="6"/>
    </row>
    <row r="83" spans="2:14" x14ac:dyDescent="0.35">
      <c r="G83" s="6"/>
      <c r="H83" s="6"/>
      <c r="I83" s="6"/>
      <c r="J83" s="6"/>
      <c r="K83" s="6"/>
      <c r="L83" s="6"/>
      <c r="M83" s="6"/>
      <c r="N83" s="6"/>
    </row>
    <row r="84" spans="2:14" x14ac:dyDescent="0.35">
      <c r="G84" s="6"/>
      <c r="H84" s="6"/>
      <c r="I84" s="6"/>
      <c r="J84" s="6"/>
      <c r="K84" s="6"/>
      <c r="L84" s="6"/>
      <c r="M84" s="6"/>
      <c r="N84" s="6"/>
    </row>
    <row r="85" spans="2:14" x14ac:dyDescent="0.35">
      <c r="G85" s="6"/>
      <c r="H85" s="6"/>
      <c r="I85" s="6"/>
      <c r="J85" s="6"/>
      <c r="K85" s="6"/>
      <c r="L85" s="6"/>
      <c r="M85" s="6"/>
      <c r="N85" s="6"/>
    </row>
    <row r="86" spans="2:14" x14ac:dyDescent="0.35">
      <c r="G86" s="6"/>
      <c r="H86" s="6"/>
      <c r="I86" s="6"/>
      <c r="J86" s="6"/>
      <c r="K86" s="6"/>
      <c r="L86" s="6"/>
      <c r="M86" s="6"/>
      <c r="N86" s="6"/>
    </row>
    <row r="87" spans="2:14" x14ac:dyDescent="0.35">
      <c r="G87" s="6"/>
      <c r="H87" s="6"/>
      <c r="I87" s="6"/>
      <c r="J87" s="6"/>
      <c r="K87" s="6"/>
      <c r="L87" s="6"/>
      <c r="M87" s="6"/>
      <c r="N87" s="6"/>
    </row>
    <row r="88" spans="2:14" x14ac:dyDescent="0.35">
      <c r="G88" s="6"/>
      <c r="H88" s="6"/>
      <c r="I88" s="6"/>
      <c r="J88" s="6"/>
      <c r="K88" s="6"/>
      <c r="L88" s="6"/>
      <c r="M88" s="6"/>
      <c r="N88" s="6"/>
    </row>
    <row r="89" spans="2:14" x14ac:dyDescent="0.35">
      <c r="G89" s="6"/>
      <c r="H89" s="6"/>
      <c r="I89" s="6"/>
      <c r="J89" s="6"/>
      <c r="K89" s="6"/>
      <c r="L89" s="6"/>
      <c r="M89" s="6"/>
      <c r="N89" s="6"/>
    </row>
    <row r="90" spans="2:14" x14ac:dyDescent="0.35">
      <c r="G90" s="6"/>
      <c r="H90" s="6"/>
      <c r="I90" s="6"/>
      <c r="J90" s="6"/>
      <c r="K90" s="6"/>
      <c r="L90" s="6"/>
      <c r="M90" s="6"/>
      <c r="N90" s="6"/>
    </row>
    <row r="91" spans="2:14" x14ac:dyDescent="0.35">
      <c r="G91" s="6"/>
      <c r="H91" s="6"/>
      <c r="I91" s="6"/>
      <c r="J91" s="6"/>
      <c r="K91" s="6"/>
      <c r="L91" s="6"/>
      <c r="M91" s="6"/>
      <c r="N91" s="6"/>
    </row>
    <row r="92" spans="2:14" x14ac:dyDescent="0.35">
      <c r="G92" s="6"/>
      <c r="H92" s="6"/>
      <c r="I92" s="6"/>
      <c r="J92" s="6"/>
      <c r="K92" s="6"/>
      <c r="L92" s="6"/>
      <c r="M92" s="6"/>
      <c r="N92" s="6"/>
    </row>
    <row r="93" spans="2:14" x14ac:dyDescent="0.35">
      <c r="B93" s="2"/>
      <c r="G93" s="6"/>
      <c r="H93" s="6"/>
      <c r="I93" s="6"/>
      <c r="J93" s="6"/>
      <c r="K93" s="6"/>
      <c r="L93" s="6"/>
      <c r="M93" s="6"/>
      <c r="N93" s="6"/>
    </row>
    <row r="94" spans="2:14" x14ac:dyDescent="0.35">
      <c r="B94" s="10"/>
      <c r="G94" s="6"/>
      <c r="H94" s="6"/>
      <c r="I94" s="6"/>
      <c r="J94" s="6"/>
      <c r="K94" s="6"/>
      <c r="L94" s="6"/>
      <c r="M94" s="6"/>
      <c r="N94" s="6"/>
    </row>
    <row r="95" spans="2:14" x14ac:dyDescent="0.35">
      <c r="G95" s="6"/>
      <c r="H95" s="6"/>
      <c r="I95" s="6"/>
      <c r="J95" s="6"/>
      <c r="K95" s="6"/>
      <c r="L95" s="6"/>
      <c r="M95" s="6"/>
      <c r="N95" s="6"/>
    </row>
    <row r="96" spans="2:14" x14ac:dyDescent="0.35">
      <c r="G96" s="6"/>
      <c r="H96" s="6"/>
      <c r="I96" s="6"/>
      <c r="J96" s="6"/>
      <c r="K96" s="6"/>
      <c r="L96" s="6"/>
      <c r="M96" s="6"/>
      <c r="N96" s="6"/>
    </row>
    <row r="97" spans="2:14" x14ac:dyDescent="0.35">
      <c r="G97" s="6"/>
      <c r="H97" s="6"/>
      <c r="I97" s="6"/>
      <c r="J97" s="6"/>
      <c r="K97" s="6"/>
      <c r="L97" s="6"/>
      <c r="M97" s="6"/>
      <c r="N97" s="6"/>
    </row>
    <row r="102" spans="2:14" x14ac:dyDescent="0.35">
      <c r="F102" s="27"/>
    </row>
    <row r="104" spans="2:14" x14ac:dyDescent="0.35">
      <c r="G104" s="4"/>
    </row>
    <row r="105" spans="2:14" x14ac:dyDescent="0.35">
      <c r="G105" s="4"/>
    </row>
    <row r="106" spans="2:14" x14ac:dyDescent="0.35">
      <c r="G106" s="4"/>
    </row>
    <row r="108" spans="2:14" x14ac:dyDescent="0.35">
      <c r="B108" s="2"/>
    </row>
    <row r="112" spans="2:14" x14ac:dyDescent="0.35">
      <c r="B112" s="2"/>
    </row>
    <row r="113" spans="2:8" x14ac:dyDescent="0.35">
      <c r="B113" s="10"/>
    </row>
    <row r="124" spans="2:8" x14ac:dyDescent="0.35">
      <c r="H124" s="14"/>
    </row>
    <row r="125" spans="2:8" x14ac:dyDescent="0.35">
      <c r="B125" s="2"/>
    </row>
    <row r="127" spans="2:8" x14ac:dyDescent="0.35">
      <c r="G127" s="4"/>
      <c r="H127" s="10"/>
    </row>
    <row r="128" spans="2:8" x14ac:dyDescent="0.35">
      <c r="B128" s="2"/>
      <c r="C128" s="5"/>
      <c r="G128" s="4"/>
      <c r="H128" s="10"/>
    </row>
    <row r="129" spans="2:8" x14ac:dyDescent="0.35">
      <c r="B129" s="10"/>
      <c r="G129" s="4"/>
      <c r="H129" s="10"/>
    </row>
    <row r="130" spans="2:8" x14ac:dyDescent="0.35">
      <c r="C130" s="10"/>
      <c r="G130" s="4"/>
      <c r="H130" s="10"/>
    </row>
    <row r="131" spans="2:8" x14ac:dyDescent="0.35">
      <c r="G131" s="4"/>
    </row>
    <row r="132" spans="2:8" x14ac:dyDescent="0.35">
      <c r="B132" s="10"/>
      <c r="G132" s="4"/>
      <c r="H132" s="10"/>
    </row>
    <row r="133" spans="2:8" x14ac:dyDescent="0.35">
      <c r="C133" s="10"/>
      <c r="G133" s="4"/>
      <c r="H133" s="10"/>
    </row>
    <row r="134" spans="2:8" x14ac:dyDescent="0.35">
      <c r="G134" s="4"/>
      <c r="H134" s="10"/>
    </row>
    <row r="135" spans="2:8" x14ac:dyDescent="0.35">
      <c r="B135" s="2"/>
    </row>
    <row r="137" spans="2:8" x14ac:dyDescent="0.35">
      <c r="C137" s="10"/>
    </row>
    <row r="138" spans="2:8" x14ac:dyDescent="0.35">
      <c r="B138" s="2"/>
    </row>
    <row r="139" spans="2:8" x14ac:dyDescent="0.35">
      <c r="B139" s="3"/>
    </row>
    <row r="140" spans="2:8" s="8" customFormat="1" x14ac:dyDescent="0.35">
      <c r="B140" s="3"/>
      <c r="D140" s="3"/>
      <c r="E140" s="3"/>
      <c r="F140" s="3"/>
    </row>
    <row r="141" spans="2:8" x14ac:dyDescent="0.35">
      <c r="B141" s="3"/>
      <c r="F141" s="8"/>
    </row>
    <row r="142" spans="2:8" x14ac:dyDescent="0.35">
      <c r="B142" s="8"/>
      <c r="C142" s="8"/>
      <c r="D142" s="8"/>
      <c r="E142" s="8"/>
      <c r="F142" s="8"/>
    </row>
    <row r="143" spans="2:8" x14ac:dyDescent="0.35">
      <c r="B143" s="26"/>
      <c r="C143" s="27"/>
      <c r="D143" s="2"/>
    </row>
    <row r="144" spans="2:8" x14ac:dyDescent="0.35">
      <c r="C144" s="10"/>
      <c r="E144" s="10"/>
    </row>
    <row r="145" spans="2:6" x14ac:dyDescent="0.35">
      <c r="B145" s="2"/>
    </row>
    <row r="147" spans="2:6" x14ac:dyDescent="0.35">
      <c r="B147" s="27"/>
    </row>
    <row r="149" spans="2:6" x14ac:dyDescent="0.35">
      <c r="B149" s="10"/>
    </row>
    <row r="150" spans="2:6" x14ac:dyDescent="0.35">
      <c r="B150" s="10"/>
    </row>
    <row r="151" spans="2:6" x14ac:dyDescent="0.35">
      <c r="B151" s="10"/>
    </row>
    <row r="152" spans="2:6" x14ac:dyDescent="0.35">
      <c r="B152" s="10"/>
      <c r="F152" s="27"/>
    </row>
    <row r="153" spans="2:6" x14ac:dyDescent="0.35">
      <c r="B153" s="2"/>
      <c r="E153" s="4"/>
      <c r="F153" s="10"/>
    </row>
    <row r="154" spans="2:6" x14ac:dyDescent="0.35">
      <c r="B154" s="10"/>
      <c r="D154" s="4"/>
    </row>
    <row r="155" spans="2:6" x14ac:dyDescent="0.35">
      <c r="B155" s="10"/>
    </row>
    <row r="156" spans="2:6" x14ac:dyDescent="0.35">
      <c r="E156" s="4"/>
      <c r="F156" s="10"/>
    </row>
    <row r="157" spans="2:6" x14ac:dyDescent="0.35">
      <c r="C157" s="10"/>
      <c r="E157" s="4"/>
    </row>
    <row r="161" spans="2:4" x14ac:dyDescent="0.35">
      <c r="B161" s="3"/>
    </row>
    <row r="162" spans="2:4" x14ac:dyDescent="0.35">
      <c r="C162" s="10"/>
    </row>
    <row r="166" spans="2:4" x14ac:dyDescent="0.35">
      <c r="B166" s="3"/>
    </row>
    <row r="167" spans="2:4" x14ac:dyDescent="0.35">
      <c r="B167" s="2"/>
    </row>
    <row r="168" spans="2:4" x14ac:dyDescent="0.35">
      <c r="B168" s="3"/>
      <c r="C168" s="27"/>
      <c r="D168" s="2"/>
    </row>
    <row r="169" spans="2:4" x14ac:dyDescent="0.35">
      <c r="C169" s="10"/>
      <c r="D169" s="10"/>
    </row>
    <row r="170" spans="2:4" x14ac:dyDescent="0.35">
      <c r="C170" s="10"/>
      <c r="D170" s="10"/>
    </row>
    <row r="171" spans="2:4" x14ac:dyDescent="0.35">
      <c r="D171" s="10"/>
    </row>
    <row r="172" spans="2:4" x14ac:dyDescent="0.35">
      <c r="C172" s="10"/>
      <c r="D172" s="10"/>
    </row>
    <row r="173" spans="2:4" x14ac:dyDescent="0.35">
      <c r="C173" s="10"/>
      <c r="D173" s="10"/>
    </row>
    <row r="174" spans="2:4" x14ac:dyDescent="0.35">
      <c r="C174" s="10"/>
      <c r="D174" s="10"/>
    </row>
    <row r="175" spans="2:4" x14ac:dyDescent="0.35">
      <c r="C175" s="10"/>
      <c r="D175" s="10"/>
    </row>
    <row r="176" spans="2:4" x14ac:dyDescent="0.35">
      <c r="C176" s="10"/>
      <c r="D176" s="10"/>
    </row>
    <row r="178" spans="3:4" x14ac:dyDescent="0.35">
      <c r="C178" s="10"/>
      <c r="D178" s="10"/>
    </row>
    <row r="179" spans="3:4" x14ac:dyDescent="0.35">
      <c r="C179" s="10"/>
      <c r="D179" s="10"/>
    </row>
    <row r="181" spans="3:4" x14ac:dyDescent="0.35">
      <c r="C181" s="10"/>
      <c r="D181" s="10"/>
    </row>
    <row r="182" spans="3:4" x14ac:dyDescent="0.35">
      <c r="C182" s="10"/>
      <c r="D182" s="10"/>
    </row>
    <row r="184" spans="3:4" x14ac:dyDescent="0.35">
      <c r="C184" s="14"/>
    </row>
    <row r="185" spans="3:4" x14ac:dyDescent="0.35">
      <c r="C185" s="5"/>
    </row>
    <row r="186" spans="3:4" x14ac:dyDescent="0.35">
      <c r="C186" s="5"/>
    </row>
    <row r="187" spans="3:4" x14ac:dyDescent="0.35">
      <c r="C187" s="5"/>
    </row>
    <row r="188" spans="3:4" x14ac:dyDescent="0.35">
      <c r="C188" s="5"/>
    </row>
    <row r="189" spans="3:4" x14ac:dyDescent="0.35">
      <c r="C189" s="5"/>
    </row>
    <row r="190" spans="3:4" x14ac:dyDescent="0.35">
      <c r="C190" s="5"/>
    </row>
    <row r="191" spans="3:4" x14ac:dyDescent="0.35">
      <c r="C191" s="5"/>
    </row>
    <row r="192" spans="3:4" x14ac:dyDescent="0.35">
      <c r="C192" s="5"/>
    </row>
    <row r="193" spans="3:4" x14ac:dyDescent="0.35">
      <c r="C193" s="5"/>
    </row>
    <row r="194" spans="3:4" x14ac:dyDescent="0.35">
      <c r="C194" s="14"/>
    </row>
    <row r="195" spans="3:4" x14ac:dyDescent="0.35">
      <c r="C195" s="5"/>
    </row>
    <row r="196" spans="3:4" x14ac:dyDescent="0.35">
      <c r="C196" s="67"/>
    </row>
    <row r="197" spans="3:4" x14ac:dyDescent="0.35">
      <c r="C197" s="5"/>
    </row>
    <row r="198" spans="3:4" x14ac:dyDescent="0.35">
      <c r="C198" s="5"/>
    </row>
    <row r="199" spans="3:4" x14ac:dyDescent="0.35">
      <c r="C199" s="5"/>
    </row>
    <row r="200" spans="3:4" x14ac:dyDescent="0.35">
      <c r="C200" s="5"/>
    </row>
    <row r="201" spans="3:4" x14ac:dyDescent="0.35">
      <c r="C201" s="5"/>
    </row>
    <row r="202" spans="3:4" x14ac:dyDescent="0.35">
      <c r="C202" s="5"/>
    </row>
    <row r="203" spans="3:4" x14ac:dyDescent="0.35">
      <c r="C203" s="5"/>
    </row>
    <row r="204" spans="3:4" x14ac:dyDescent="0.35">
      <c r="C204" s="5"/>
    </row>
    <row r="205" spans="3:4" x14ac:dyDescent="0.35">
      <c r="C205" s="5"/>
    </row>
    <row r="207" spans="3:4" x14ac:dyDescent="0.35">
      <c r="C207" s="10"/>
      <c r="D207" s="10"/>
    </row>
    <row r="208" spans="3:4" x14ac:dyDescent="0.35">
      <c r="C208" s="10"/>
      <c r="D208" s="10"/>
    </row>
    <row r="209" spans="3:8" x14ac:dyDescent="0.35">
      <c r="G209" s="4"/>
      <c r="H209" s="10"/>
    </row>
    <row r="210" spans="3:8" x14ac:dyDescent="0.35">
      <c r="G210" s="4"/>
    </row>
    <row r="211" spans="3:8" x14ac:dyDescent="0.35">
      <c r="C211" s="5"/>
      <c r="G211" s="4"/>
    </row>
    <row r="212" spans="3:8" x14ac:dyDescent="0.35">
      <c r="C212" s="5"/>
    </row>
    <row r="213" spans="3:8" x14ac:dyDescent="0.35">
      <c r="C213" s="5"/>
    </row>
    <row r="214" spans="3:8" x14ac:dyDescent="0.35">
      <c r="C214" s="5"/>
    </row>
    <row r="215" spans="3:8" x14ac:dyDescent="0.35">
      <c r="C215" s="5"/>
    </row>
    <row r="216" spans="3:8" x14ac:dyDescent="0.35">
      <c r="C216" s="5"/>
    </row>
    <row r="217" spans="3:8" x14ac:dyDescent="0.35">
      <c r="C217" s="5"/>
    </row>
    <row r="218" spans="3:8" x14ac:dyDescent="0.35">
      <c r="C218" s="5"/>
    </row>
    <row r="219" spans="3:8" x14ac:dyDescent="0.35">
      <c r="C219" s="5"/>
    </row>
    <row r="221" spans="3:8" x14ac:dyDescent="0.35">
      <c r="C221" s="27"/>
      <c r="D221" s="27"/>
      <c r="E221" s="27"/>
      <c r="F221" s="27"/>
    </row>
    <row r="222" spans="3:8" x14ac:dyDescent="0.35">
      <c r="C222" s="67"/>
      <c r="D222" s="5"/>
      <c r="E222" s="5"/>
      <c r="F222" s="70"/>
    </row>
    <row r="223" spans="3:8" x14ac:dyDescent="0.35">
      <c r="C223" s="67"/>
      <c r="D223" s="5"/>
      <c r="E223" s="5"/>
      <c r="F223" s="70"/>
    </row>
    <row r="224" spans="3:8" x14ac:dyDescent="0.35">
      <c r="C224" s="67"/>
      <c r="D224" s="5"/>
      <c r="E224" s="5"/>
      <c r="F224" s="70"/>
    </row>
    <row r="225" spans="3:6" x14ac:dyDescent="0.35">
      <c r="C225" s="67"/>
      <c r="D225" s="5"/>
      <c r="E225" s="5"/>
      <c r="F225" s="70"/>
    </row>
    <row r="226" spans="3:6" x14ac:dyDescent="0.35">
      <c r="C226" s="67"/>
      <c r="D226" s="5"/>
      <c r="E226" s="5"/>
      <c r="F226" s="70"/>
    </row>
  </sheetData>
  <sheetProtection sheet="1" objects="1" scenarios="1" selectLockedCells="1"/>
  <phoneticPr fontId="2" type="noConversion"/>
  <pageMargins left="0.75" right="0.75" top="1" bottom="1" header="0.5" footer="0.5"/>
  <pageSetup orientation="portrait" horizontalDpi="4294967295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62"/>
  <sheetViews>
    <sheetView workbookViewId="0">
      <selection activeCell="O1" sqref="O1"/>
    </sheetView>
  </sheetViews>
  <sheetFormatPr defaultRowHeight="15.5" x14ac:dyDescent="0.35"/>
  <cols>
    <col min="1" max="1" width="4.81640625" style="3" customWidth="1"/>
    <col min="2" max="2" width="25.36328125" style="3" customWidth="1"/>
    <col min="3" max="3" width="8.7265625" style="3"/>
    <col min="4" max="4" width="14.90625" style="3" customWidth="1"/>
    <col min="5" max="16384" width="8.7265625" style="3"/>
  </cols>
  <sheetData>
    <row r="1" spans="2:19" ht="18" x14ac:dyDescent="0.4">
      <c r="B1" s="81" t="s">
        <v>440</v>
      </c>
      <c r="D1" s="2"/>
      <c r="E1" s="82"/>
      <c r="F1" s="27" t="s">
        <v>22</v>
      </c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2:19" x14ac:dyDescent="0.35">
      <c r="B2" s="8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</row>
    <row r="3" spans="2:19" x14ac:dyDescent="0.35"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pans="2:19" x14ac:dyDescent="0.35">
      <c r="B4" s="2" t="s">
        <v>441</v>
      </c>
      <c r="C4" s="84"/>
      <c r="D4" s="85"/>
      <c r="E4" s="84"/>
      <c r="F4" s="84"/>
      <c r="G4" s="84"/>
      <c r="H4" s="84"/>
      <c r="I4" s="86"/>
      <c r="J4" s="86"/>
      <c r="K4" s="86"/>
      <c r="L4" s="86"/>
      <c r="M4" s="86"/>
      <c r="N4" s="86"/>
      <c r="O4" s="86"/>
      <c r="P4" s="86"/>
      <c r="Q4" s="86"/>
      <c r="R4" s="6"/>
      <c r="S4" s="6"/>
    </row>
    <row r="5" spans="2:19" x14ac:dyDescent="0.35">
      <c r="B5" s="26" t="s">
        <v>442</v>
      </c>
      <c r="C5" s="84" t="s">
        <v>443</v>
      </c>
      <c r="D5" s="85"/>
      <c r="E5" s="84"/>
      <c r="F5" s="84"/>
      <c r="G5" s="84"/>
      <c r="H5" s="84"/>
      <c r="I5" s="86"/>
      <c r="J5" s="86"/>
      <c r="K5" s="86"/>
      <c r="L5" s="86"/>
      <c r="M5" s="86"/>
      <c r="N5" s="86"/>
      <c r="O5" s="86"/>
      <c r="P5" s="86"/>
      <c r="Q5" s="86"/>
      <c r="R5" s="6"/>
      <c r="S5" s="6"/>
    </row>
    <row r="6" spans="2:19" x14ac:dyDescent="0.35">
      <c r="B6" s="26" t="s">
        <v>444</v>
      </c>
      <c r="C6" s="84" t="s">
        <v>445</v>
      </c>
      <c r="D6" s="84"/>
      <c r="E6" s="84"/>
      <c r="F6" s="84"/>
      <c r="G6" s="84"/>
      <c r="H6" s="84"/>
      <c r="I6" s="86"/>
      <c r="J6" s="86"/>
      <c r="K6" s="86"/>
      <c r="L6" s="86"/>
      <c r="M6" s="86"/>
      <c r="N6" s="86"/>
      <c r="O6" s="86"/>
      <c r="P6" s="86"/>
      <c r="Q6" s="86"/>
      <c r="R6" s="6"/>
      <c r="S6" s="6"/>
    </row>
    <row r="7" spans="2:19" x14ac:dyDescent="0.35">
      <c r="B7" s="26" t="s">
        <v>446</v>
      </c>
      <c r="C7" s="84" t="s">
        <v>447</v>
      </c>
      <c r="D7" s="84"/>
      <c r="E7" s="84"/>
      <c r="F7" s="84"/>
      <c r="G7" s="84"/>
      <c r="H7" s="84"/>
      <c r="I7" s="86"/>
      <c r="J7" s="86"/>
      <c r="K7" s="86"/>
      <c r="L7" s="86"/>
      <c r="M7" s="86"/>
      <c r="N7" s="86"/>
      <c r="O7" s="86"/>
      <c r="P7" s="86"/>
      <c r="Q7" s="86"/>
      <c r="R7" s="6"/>
      <c r="S7" s="6"/>
    </row>
    <row r="8" spans="2:19" x14ac:dyDescent="0.35">
      <c r="B8" s="26" t="s">
        <v>448</v>
      </c>
      <c r="C8" s="84" t="s">
        <v>449</v>
      </c>
      <c r="D8" s="84"/>
      <c r="E8" s="84" t="s">
        <v>451</v>
      </c>
      <c r="F8" s="87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6"/>
      <c r="S8" s="6"/>
    </row>
    <row r="9" spans="2:19" x14ac:dyDescent="0.35">
      <c r="B9" s="2" t="s">
        <v>450</v>
      </c>
      <c r="C9" s="84"/>
      <c r="D9" s="84"/>
      <c r="E9" s="88" t="s">
        <v>453</v>
      </c>
      <c r="F9" s="86"/>
      <c r="G9" s="86"/>
      <c r="H9" s="86"/>
      <c r="I9" s="88" t="s">
        <v>454</v>
      </c>
      <c r="J9" s="86"/>
      <c r="K9" s="86"/>
      <c r="L9" s="86"/>
      <c r="M9" s="86"/>
      <c r="N9" s="86"/>
      <c r="O9" s="86"/>
      <c r="P9" s="86"/>
      <c r="Q9" s="86"/>
      <c r="R9" s="6"/>
      <c r="S9" s="6"/>
    </row>
    <row r="10" spans="2:19" x14ac:dyDescent="0.35">
      <c r="B10" s="26" t="s">
        <v>452</v>
      </c>
      <c r="C10" s="84" t="s">
        <v>443</v>
      </c>
      <c r="D10" s="84"/>
      <c r="K10" s="86"/>
      <c r="L10" s="86"/>
      <c r="M10" s="86"/>
      <c r="N10" s="86"/>
      <c r="O10" s="86"/>
      <c r="P10" s="86"/>
      <c r="Q10" s="86"/>
      <c r="R10" s="6"/>
      <c r="S10" s="6"/>
    </row>
    <row r="11" spans="2:19" x14ac:dyDescent="0.35">
      <c r="B11" s="26" t="s">
        <v>455</v>
      </c>
      <c r="C11" s="84" t="s">
        <v>445</v>
      </c>
      <c r="D11" s="84"/>
      <c r="E11" s="89"/>
      <c r="F11" s="90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6"/>
      <c r="S11" s="6"/>
    </row>
    <row r="12" spans="2:19" x14ac:dyDescent="0.35">
      <c r="B12" s="26" t="s">
        <v>456</v>
      </c>
      <c r="C12" s="84" t="s">
        <v>457</v>
      </c>
      <c r="D12" s="84"/>
      <c r="E12" s="91"/>
      <c r="F12" s="92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9"/>
      <c r="S12" s="6"/>
    </row>
    <row r="13" spans="2:19" x14ac:dyDescent="0.35">
      <c r="B13" s="93" t="s">
        <v>458</v>
      </c>
      <c r="C13" s="84"/>
      <c r="D13" s="84"/>
      <c r="E13" s="89"/>
      <c r="F13" s="90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9"/>
      <c r="S13" s="6"/>
    </row>
    <row r="14" spans="2:19" x14ac:dyDescent="0.35">
      <c r="B14" s="84"/>
      <c r="C14" s="84"/>
      <c r="D14" s="84"/>
      <c r="E14" s="91"/>
      <c r="F14" s="94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9"/>
      <c r="S14" s="12"/>
    </row>
    <row r="15" spans="2:19" x14ac:dyDescent="0.35">
      <c r="B15" s="84"/>
      <c r="C15" s="86"/>
      <c r="D15" s="84"/>
      <c r="E15" s="84"/>
      <c r="F15" s="84"/>
      <c r="G15" s="84"/>
      <c r="H15" s="84"/>
      <c r="I15" s="84"/>
      <c r="J15" s="86"/>
      <c r="K15" s="86"/>
      <c r="L15" s="86"/>
      <c r="M15" s="86"/>
      <c r="N15" s="86"/>
      <c r="O15" s="86"/>
      <c r="P15" s="86"/>
      <c r="Q15" s="86"/>
      <c r="R15" s="89"/>
      <c r="S15" s="95"/>
    </row>
    <row r="16" spans="2:19" x14ac:dyDescent="0.35">
      <c r="B16" s="84" t="s">
        <v>459</v>
      </c>
      <c r="C16" s="86"/>
      <c r="D16" s="84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9"/>
      <c r="S16" s="95"/>
    </row>
    <row r="17" spans="2:19" x14ac:dyDescent="0.35">
      <c r="B17" s="86"/>
      <c r="C17" s="86" t="s">
        <v>460</v>
      </c>
      <c r="D17" s="84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9"/>
      <c r="S17" s="12"/>
    </row>
    <row r="18" spans="2:19" x14ac:dyDescent="0.35">
      <c r="B18" s="86"/>
      <c r="C18" s="86" t="s">
        <v>461</v>
      </c>
      <c r="D18" s="84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6"/>
      <c r="S18" s="75"/>
    </row>
    <row r="19" spans="2:19" x14ac:dyDescent="0.35">
      <c r="B19" s="8"/>
      <c r="C19" s="86"/>
      <c r="D19" s="84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6"/>
      <c r="S19" s="96"/>
    </row>
    <row r="20" spans="2:19" x14ac:dyDescent="0.35">
      <c r="B20" s="2"/>
      <c r="C20" s="86"/>
      <c r="D20" s="84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6"/>
      <c r="S20" s="6"/>
    </row>
    <row r="21" spans="2:19" x14ac:dyDescent="0.35">
      <c r="B21" s="2"/>
      <c r="C21" s="86"/>
      <c r="D21" s="84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6"/>
      <c r="S21" s="6"/>
    </row>
    <row r="22" spans="2:19" x14ac:dyDescent="0.35">
      <c r="B22" s="84"/>
      <c r="C22" s="86"/>
      <c r="D22" s="84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6"/>
      <c r="S22" s="6"/>
    </row>
    <row r="23" spans="2:19" x14ac:dyDescent="0.35">
      <c r="B23" s="86"/>
      <c r="C23" s="86"/>
      <c r="D23" s="84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6"/>
      <c r="S23" s="6"/>
    </row>
    <row r="24" spans="2:19" x14ac:dyDescent="0.35">
      <c r="B24" s="84"/>
      <c r="C24" s="84"/>
      <c r="D24" s="84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6"/>
      <c r="S24" s="6"/>
    </row>
    <row r="25" spans="2:19" x14ac:dyDescent="0.35">
      <c r="B25" s="84"/>
      <c r="C25" s="84"/>
      <c r="D25" s="84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6"/>
      <c r="S25" s="6"/>
    </row>
    <row r="26" spans="2:19" x14ac:dyDescent="0.35">
      <c r="B26" s="84"/>
      <c r="C26" s="84"/>
      <c r="D26" s="84"/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6"/>
      <c r="S26" s="6"/>
    </row>
    <row r="27" spans="2:19" x14ac:dyDescent="0.35">
      <c r="B27" s="84"/>
      <c r="C27" s="84"/>
      <c r="D27" s="84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6"/>
      <c r="S27" s="6"/>
    </row>
    <row r="28" spans="2:19" x14ac:dyDescent="0.35">
      <c r="B28" s="84"/>
      <c r="C28" s="84"/>
      <c r="D28" s="84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6"/>
      <c r="S28" s="6"/>
    </row>
    <row r="29" spans="2:19" x14ac:dyDescent="0.35">
      <c r="B29" s="84"/>
      <c r="C29" s="84"/>
      <c r="D29" s="84"/>
      <c r="E29" s="86"/>
      <c r="F29" s="86"/>
      <c r="G29" s="86"/>
      <c r="H29" s="86"/>
      <c r="I29" s="97" t="s">
        <v>462</v>
      </c>
      <c r="J29" s="97" t="s">
        <v>463</v>
      </c>
      <c r="K29" s="86"/>
      <c r="L29" s="86"/>
      <c r="M29" s="86"/>
      <c r="N29" s="86"/>
      <c r="O29" s="86"/>
      <c r="P29" s="86"/>
      <c r="Q29" s="86"/>
      <c r="R29" s="6"/>
      <c r="S29" s="6"/>
    </row>
    <row r="30" spans="2:19" x14ac:dyDescent="0.35">
      <c r="B30" s="84"/>
      <c r="C30" s="84"/>
      <c r="D30" s="84"/>
      <c r="E30" s="86"/>
      <c r="F30" s="86"/>
      <c r="G30" s="86"/>
      <c r="H30" s="86"/>
      <c r="I30" s="86">
        <v>1</v>
      </c>
      <c r="J30" s="98">
        <v>10</v>
      </c>
      <c r="K30" s="86"/>
      <c r="L30" s="86"/>
      <c r="M30" s="86"/>
      <c r="N30" s="86"/>
      <c r="O30" s="86"/>
      <c r="P30" s="86"/>
      <c r="Q30" s="86"/>
      <c r="R30" s="6"/>
      <c r="S30" s="6"/>
    </row>
    <row r="31" spans="2:19" x14ac:dyDescent="0.35">
      <c r="B31" s="84"/>
      <c r="C31" s="84"/>
      <c r="D31" s="84"/>
      <c r="E31" s="86"/>
      <c r="F31" s="88" t="s">
        <v>464</v>
      </c>
      <c r="G31" s="86"/>
      <c r="H31" s="86"/>
      <c r="I31" s="86">
        <v>2</v>
      </c>
      <c r="J31" s="98">
        <v>6</v>
      </c>
      <c r="K31" s="86"/>
      <c r="L31" s="86"/>
      <c r="M31" s="86"/>
      <c r="N31" s="86"/>
      <c r="O31" s="86"/>
      <c r="P31" s="86"/>
      <c r="Q31" s="86"/>
    </row>
    <row r="32" spans="2:19" x14ac:dyDescent="0.35">
      <c r="B32" s="8" t="s">
        <v>465</v>
      </c>
      <c r="E32" s="6"/>
      <c r="F32" s="99" t="s">
        <v>466</v>
      </c>
      <c r="G32" s="100">
        <v>10</v>
      </c>
      <c r="H32" s="86" t="s">
        <v>15</v>
      </c>
      <c r="I32" s="86">
        <v>3</v>
      </c>
      <c r="J32" s="88" t="s">
        <v>467</v>
      </c>
      <c r="K32" s="86"/>
      <c r="L32" s="86"/>
      <c r="M32" s="86"/>
      <c r="N32" s="86"/>
      <c r="O32" s="86"/>
      <c r="P32" s="86"/>
      <c r="Q32" s="86"/>
    </row>
    <row r="33" spans="2:17" ht="16" thickBot="1" x14ac:dyDescent="0.4">
      <c r="B33" s="101"/>
      <c r="C33" s="14" t="s">
        <v>7</v>
      </c>
      <c r="D33" s="84"/>
      <c r="E33" s="6"/>
      <c r="F33" s="99" t="s">
        <v>18</v>
      </c>
      <c r="G33" s="100">
        <v>6</v>
      </c>
      <c r="H33" s="86" t="s">
        <v>468</v>
      </c>
      <c r="I33" s="86">
        <v>4</v>
      </c>
      <c r="J33" s="88" t="s">
        <v>461</v>
      </c>
      <c r="K33" s="86"/>
      <c r="L33" s="86"/>
      <c r="M33" s="86"/>
      <c r="N33" s="86"/>
      <c r="O33" s="86"/>
      <c r="P33" s="86"/>
      <c r="Q33" s="86"/>
    </row>
    <row r="34" spans="2:17" ht="16" thickBot="1" x14ac:dyDescent="0.4">
      <c r="B34" s="26" t="s">
        <v>469</v>
      </c>
      <c r="C34" s="102">
        <v>10</v>
      </c>
      <c r="D34" s="8" t="s">
        <v>15</v>
      </c>
      <c r="E34" s="6"/>
      <c r="F34" s="103" t="s">
        <v>470</v>
      </c>
      <c r="G34" s="104" t="s">
        <v>471</v>
      </c>
      <c r="H34" s="84"/>
      <c r="I34" s="86">
        <v>5</v>
      </c>
      <c r="J34" s="88" t="s">
        <v>472</v>
      </c>
      <c r="K34" s="86"/>
      <c r="L34" s="86"/>
      <c r="M34" s="86"/>
      <c r="N34" s="86"/>
      <c r="O34" s="86"/>
      <c r="P34" s="86"/>
      <c r="Q34" s="86"/>
    </row>
    <row r="35" spans="2:17" ht="16" thickBot="1" x14ac:dyDescent="0.4">
      <c r="B35" s="26" t="s">
        <v>473</v>
      </c>
      <c r="C35" s="105">
        <v>6</v>
      </c>
      <c r="D35" s="8" t="s">
        <v>15</v>
      </c>
      <c r="E35" s="86"/>
      <c r="F35" s="103" t="s">
        <v>474</v>
      </c>
      <c r="G35" s="106">
        <f>C35/C34</f>
        <v>0.6</v>
      </c>
      <c r="H35" s="84" t="s">
        <v>475</v>
      </c>
      <c r="I35" s="86">
        <v>6</v>
      </c>
      <c r="J35" s="88" t="s">
        <v>476</v>
      </c>
      <c r="K35" s="86"/>
      <c r="L35" s="86"/>
      <c r="M35" s="86"/>
      <c r="N35" s="86"/>
      <c r="O35" s="86"/>
      <c r="P35" s="86"/>
      <c r="Q35" s="86"/>
    </row>
    <row r="36" spans="2:17" x14ac:dyDescent="0.35">
      <c r="B36" s="85"/>
      <c r="C36" s="14" t="s">
        <v>8</v>
      </c>
      <c r="D36" s="84"/>
      <c r="E36" s="86"/>
      <c r="F36" s="103" t="s">
        <v>477</v>
      </c>
      <c r="G36" s="104" t="s">
        <v>478</v>
      </c>
      <c r="H36" s="84"/>
      <c r="I36" s="86">
        <v>7</v>
      </c>
      <c r="J36" s="98">
        <v>2</v>
      </c>
      <c r="K36" s="86"/>
      <c r="L36" s="86"/>
      <c r="M36" s="86"/>
      <c r="N36" s="86"/>
      <c r="O36" s="86"/>
      <c r="P36" s="86"/>
      <c r="Q36" s="86"/>
    </row>
    <row r="37" spans="2:17" ht="16" thickBot="1" x14ac:dyDescent="0.4">
      <c r="B37" s="26" t="s">
        <v>479</v>
      </c>
      <c r="C37" s="2" t="s">
        <v>480</v>
      </c>
      <c r="D37" s="8"/>
      <c r="E37" s="86"/>
      <c r="F37" s="85" t="s">
        <v>474</v>
      </c>
      <c r="G37" s="107">
        <f>ATAN(C35/C34)</f>
        <v>0.54041950027058416</v>
      </c>
      <c r="H37" s="84" t="s">
        <v>481</v>
      </c>
      <c r="I37" s="86">
        <v>8</v>
      </c>
      <c r="J37" s="88" t="s">
        <v>449</v>
      </c>
      <c r="K37" s="86"/>
      <c r="L37" s="86"/>
      <c r="M37" s="86"/>
      <c r="N37" s="86"/>
      <c r="O37" s="86"/>
      <c r="P37" s="86"/>
      <c r="Q37" s="86"/>
    </row>
    <row r="38" spans="2:17" ht="16" thickBot="1" x14ac:dyDescent="0.4">
      <c r="B38" s="108" t="s">
        <v>474</v>
      </c>
      <c r="C38" s="109">
        <f>( C34^2 + C35^2 )^(1/2)</f>
        <v>11.661903789690601</v>
      </c>
      <c r="D38" s="8" t="s">
        <v>15</v>
      </c>
      <c r="E38" s="86"/>
      <c r="F38" s="103" t="s">
        <v>482</v>
      </c>
      <c r="G38" s="93" t="s">
        <v>483</v>
      </c>
      <c r="H38" s="101" t="s">
        <v>484</v>
      </c>
      <c r="I38" s="86">
        <v>9</v>
      </c>
      <c r="J38" s="100">
        <v>10</v>
      </c>
      <c r="K38" s="86"/>
      <c r="L38" s="86"/>
      <c r="M38" s="86"/>
      <c r="N38" s="86"/>
      <c r="O38" s="86"/>
      <c r="P38" s="86"/>
      <c r="Q38" s="86"/>
    </row>
    <row r="39" spans="2:17" ht="16" thickBot="1" x14ac:dyDescent="0.4">
      <c r="B39" s="26" t="s">
        <v>485</v>
      </c>
      <c r="C39" s="8" t="s">
        <v>486</v>
      </c>
      <c r="D39" s="8"/>
      <c r="E39" s="86"/>
      <c r="F39" s="103" t="s">
        <v>477</v>
      </c>
      <c r="G39" s="110" t="s">
        <v>487</v>
      </c>
      <c r="H39" s="84"/>
      <c r="I39" s="86">
        <v>10</v>
      </c>
      <c r="J39" s="100">
        <v>6</v>
      </c>
      <c r="K39" s="86"/>
      <c r="L39" s="86"/>
      <c r="M39" s="86"/>
      <c r="N39" s="86"/>
      <c r="O39" s="86"/>
      <c r="P39" s="86"/>
      <c r="Q39" s="86"/>
    </row>
    <row r="40" spans="2:17" ht="16" thickBot="1" x14ac:dyDescent="0.4">
      <c r="B40" s="26" t="s">
        <v>474</v>
      </c>
      <c r="C40" s="111">
        <f>57.3 * ATAN(C35 / C34)</f>
        <v>30.966037365504469</v>
      </c>
      <c r="D40" s="8" t="s">
        <v>34</v>
      </c>
      <c r="E40" s="86"/>
      <c r="F40" s="85" t="s">
        <v>474</v>
      </c>
      <c r="G40" s="110">
        <f>57.3*G37</f>
        <v>30.966037365504469</v>
      </c>
      <c r="H40" s="84" t="s">
        <v>484</v>
      </c>
      <c r="I40" s="86"/>
      <c r="J40" s="86"/>
      <c r="K40" s="86"/>
      <c r="L40" s="86"/>
      <c r="M40" s="86"/>
      <c r="N40" s="86"/>
      <c r="O40" s="86"/>
      <c r="P40" s="86"/>
      <c r="Q40" s="86"/>
    </row>
    <row r="41" spans="2:17" x14ac:dyDescent="0.35">
      <c r="B41" s="84"/>
      <c r="C41" s="84"/>
      <c r="D41" s="84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  <row r="42" spans="2:17" x14ac:dyDescent="0.35">
      <c r="B42" s="8" t="s">
        <v>488</v>
      </c>
      <c r="C42" s="84"/>
      <c r="D42" s="85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</row>
    <row r="43" spans="2:17" x14ac:dyDescent="0.35">
      <c r="B43" s="104" t="s">
        <v>489</v>
      </c>
      <c r="C43" s="84"/>
      <c r="D43" s="85"/>
      <c r="E43" s="90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2:17" x14ac:dyDescent="0.35">
      <c r="B44" s="104" t="s">
        <v>490</v>
      </c>
      <c r="C44" s="84"/>
      <c r="D44" s="85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</row>
    <row r="45" spans="2:17" x14ac:dyDescent="0.35">
      <c r="B45" s="104" t="s">
        <v>491</v>
      </c>
      <c r="C45" s="84"/>
      <c r="D45" s="85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</row>
    <row r="46" spans="2:17" x14ac:dyDescent="0.35">
      <c r="B46" s="104" t="s">
        <v>492</v>
      </c>
      <c r="C46" s="84"/>
      <c r="D46" s="46"/>
      <c r="E46" s="86"/>
      <c r="F46" s="86"/>
      <c r="G46" s="99"/>
      <c r="H46" s="98"/>
      <c r="I46" s="86"/>
      <c r="J46" s="86"/>
      <c r="K46" s="86"/>
      <c r="L46" s="86"/>
      <c r="M46" s="86"/>
      <c r="N46" s="86"/>
      <c r="O46" s="86"/>
      <c r="P46" s="86"/>
      <c r="Q46" s="86"/>
    </row>
    <row r="47" spans="2:17" x14ac:dyDescent="0.35">
      <c r="B47" s="84"/>
      <c r="C47" s="84"/>
      <c r="D47" s="84"/>
      <c r="E47" s="86"/>
      <c r="F47" s="86"/>
      <c r="G47" s="99"/>
      <c r="H47" s="98"/>
      <c r="I47" s="86"/>
      <c r="J47" s="86"/>
      <c r="K47" s="86"/>
      <c r="L47" s="86"/>
      <c r="M47" s="86"/>
      <c r="N47" s="86"/>
      <c r="O47" s="86"/>
      <c r="P47" s="86"/>
      <c r="Q47" s="86"/>
    </row>
    <row r="48" spans="2:17" x14ac:dyDescent="0.35">
      <c r="B48" s="84"/>
      <c r="C48" s="84"/>
      <c r="D48" s="85"/>
      <c r="E48" s="112"/>
      <c r="F48" s="113"/>
      <c r="G48" s="88"/>
      <c r="H48" s="98"/>
      <c r="I48" s="86"/>
      <c r="J48" s="86"/>
      <c r="K48" s="86"/>
      <c r="L48" s="86"/>
      <c r="M48" s="86"/>
      <c r="N48" s="86"/>
      <c r="O48" s="86"/>
      <c r="P48" s="86"/>
      <c r="Q48" s="86"/>
    </row>
    <row r="49" spans="2:17" x14ac:dyDescent="0.35">
      <c r="B49" s="84"/>
      <c r="C49" s="84"/>
      <c r="D49" s="84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</row>
    <row r="50" spans="2:17" x14ac:dyDescent="0.35">
      <c r="B50" s="84"/>
      <c r="C50" s="84"/>
      <c r="D50" s="84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</row>
    <row r="51" spans="2:17" x14ac:dyDescent="0.35">
      <c r="B51" s="84"/>
      <c r="C51" s="84"/>
      <c r="D51" s="84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</row>
    <row r="52" spans="2:17" x14ac:dyDescent="0.35">
      <c r="B52" s="84"/>
      <c r="C52" s="84"/>
      <c r="D52" s="84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</row>
    <row r="53" spans="2:17" x14ac:dyDescent="0.35">
      <c r="B53" s="84"/>
      <c r="C53" s="84"/>
      <c r="D53" s="84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</row>
    <row r="54" spans="2:17" x14ac:dyDescent="0.35">
      <c r="B54" s="84"/>
      <c r="C54" s="84"/>
      <c r="D54" s="84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</row>
    <row r="55" spans="2:17" x14ac:dyDescent="0.35">
      <c r="B55" s="84"/>
      <c r="C55" s="84"/>
      <c r="D55" s="85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</row>
    <row r="56" spans="2:17" x14ac:dyDescent="0.35">
      <c r="C56" s="84"/>
      <c r="D56" s="85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</row>
    <row r="58" spans="2:17" x14ac:dyDescent="0.35">
      <c r="B58" s="93" t="s">
        <v>493</v>
      </c>
    </row>
    <row r="62" spans="2:17" x14ac:dyDescent="0.35">
      <c r="D62" s="3" t="s">
        <v>515</v>
      </c>
    </row>
  </sheetData>
  <sheetProtection sheet="1" objects="1" scenarios="1"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Tension-Shear</vt:lpstr>
      <vt:lpstr>Bending</vt:lpstr>
      <vt:lpstr>Long Welds</vt:lpstr>
      <vt:lpstr>Math Tools</vt:lpstr>
    </vt:vector>
  </TitlesOfParts>
  <Company>THINC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Andrew</dc:creator>
  <cp:lastModifiedBy>John Andrew</cp:lastModifiedBy>
  <cp:lastPrinted>2011-08-04T16:08:58Z</cp:lastPrinted>
  <dcterms:created xsi:type="dcterms:W3CDTF">2007-05-12T12:08:51Z</dcterms:created>
  <dcterms:modified xsi:type="dcterms:W3CDTF">2022-11-23T15:06:31Z</dcterms:modified>
</cp:coreProperties>
</file>