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24226"/>
  <mc:AlternateContent xmlns:mc="http://schemas.openxmlformats.org/markup-compatibility/2006">
    <mc:Choice Requires="x15">
      <x15ac:absPath xmlns:x15ac="http://schemas.microsoft.com/office/spreadsheetml/2010/11/ac" url="C:\Users\jandrew\Documents\MISC\AMAZON-CONTEC\"/>
    </mc:Choice>
  </mc:AlternateContent>
  <xr:revisionPtr revIDLastSave="0" documentId="13_ncr:1_{16B34043-9A4B-4AFD-90D6-E4F1CD68CCC2}" xr6:coauthVersionLast="47" xr6:coauthVersionMax="47" xr10:uidLastSave="{00000000-0000-0000-0000-000000000000}"/>
  <bookViews>
    <workbookView xWindow="5440" yWindow="160" windowWidth="28940" windowHeight="19790" tabRatio="518" xr2:uid="{00000000-000D-0000-FFFF-FFFF00000000}"/>
  </bookViews>
  <sheets>
    <sheet name="SUMMARY" sheetId="4" r:id="rId1"/>
    <sheet name="UNITS" sheetId="10" r:id="rId2"/>
    <sheet name="ENTROPY" sheetId="1" r:id="rId3"/>
    <sheet name="STEAM TURBINES" sheetId="9" r:id="rId4"/>
    <sheet name="GASOLINE ENGINES" sheetId="2" r:id="rId5"/>
    <sheet name="DIESEL ENGINES" sheetId="5" r:id="rId6"/>
    <sheet name="GAS TURBINES" sheetId="6" r:id="rId7"/>
    <sheet name="AIR PROPERTIES" sheetId="7" r:id="rId8"/>
    <sheet name="MATH TOOLS" sheetId="12" r:id="rId9"/>
  </sheets>
  <definedNames>
    <definedName name="solver_adj" localSheetId="5" hidden="1">'DIESEL ENGINES'!$M$193:$M$195</definedName>
    <definedName name="solver_adj" localSheetId="4" hidden="1">'GASOLINE ENGINES'!#REF!</definedName>
    <definedName name="solver_cvg" localSheetId="5" hidden="1">0.0001</definedName>
    <definedName name="solver_cvg" localSheetId="4" hidden="1">0.0001</definedName>
    <definedName name="solver_drv" localSheetId="5" hidden="1">1</definedName>
    <definedName name="solver_drv" localSheetId="4" hidden="1">1</definedName>
    <definedName name="solver_est" localSheetId="5" hidden="1">1</definedName>
    <definedName name="solver_est" localSheetId="4" hidden="1">1</definedName>
    <definedName name="solver_itr" localSheetId="5" hidden="1">100</definedName>
    <definedName name="solver_itr" localSheetId="4" hidden="1">100</definedName>
    <definedName name="solver_lhs1" localSheetId="5" hidden="1">'DIESEL ENGINES'!$K$193:$K$195</definedName>
    <definedName name="solver_lhs1" localSheetId="4" hidden="1">'GASOLINE ENGINES'!#REF!</definedName>
    <definedName name="solver_lhs2" localSheetId="5" hidden="1">'DIESEL ENGINES'!#REF!</definedName>
    <definedName name="solver_lin" localSheetId="5" hidden="1">2</definedName>
    <definedName name="solver_lin" localSheetId="4" hidden="1">2</definedName>
    <definedName name="solver_neg" localSheetId="5" hidden="1">2</definedName>
    <definedName name="solver_neg" localSheetId="4" hidden="1">2</definedName>
    <definedName name="solver_num" localSheetId="5" hidden="1">1</definedName>
    <definedName name="solver_num" localSheetId="4" hidden="1">1</definedName>
    <definedName name="solver_nwt" localSheetId="5" hidden="1">1</definedName>
    <definedName name="solver_nwt" localSheetId="4" hidden="1">1</definedName>
    <definedName name="solver_opt" localSheetId="4" hidden="1">'GASOLINE ENGINES'!#REF!</definedName>
    <definedName name="solver_pre" localSheetId="5" hidden="1">0.000001</definedName>
    <definedName name="solver_pre" localSheetId="4" hidden="1">0.000001</definedName>
    <definedName name="solver_rel1" localSheetId="5" hidden="1">2</definedName>
    <definedName name="solver_rel1" localSheetId="4" hidden="1">1</definedName>
    <definedName name="solver_rel2" localSheetId="5" hidden="1">1</definedName>
    <definedName name="solver_rhs1" localSheetId="5" hidden="1">'DIESEL ENGINES'!$J$193:$J$195</definedName>
    <definedName name="solver_rhs1" localSheetId="4" hidden="1">'GASOLINE ENGINES'!#REF!</definedName>
    <definedName name="solver_rhs2" localSheetId="5" hidden="1">0</definedName>
    <definedName name="solver_scl" localSheetId="5" hidden="1">2</definedName>
    <definedName name="solver_scl" localSheetId="4" hidden="1">2</definedName>
    <definedName name="solver_sho" localSheetId="5" hidden="1">2</definedName>
    <definedName name="solver_sho" localSheetId="4" hidden="1">2</definedName>
    <definedName name="solver_tim" localSheetId="5" hidden="1">100</definedName>
    <definedName name="solver_tim" localSheetId="4" hidden="1">100</definedName>
    <definedName name="solver_tol" localSheetId="5" hidden="1">0.05</definedName>
    <definedName name="solver_tol" localSheetId="4" hidden="1">0.05</definedName>
    <definedName name="solver_typ" localSheetId="5" hidden="1">1</definedName>
    <definedName name="solver_typ" localSheetId="4" hidden="1">2</definedName>
    <definedName name="solver_val" localSheetId="5" hidden="1">4000</definedName>
    <definedName name="solver_val" localSheetId="4" hidden="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 i="10" l="1"/>
  <c r="S5" i="12"/>
  <c r="M5" i="12"/>
  <c r="C41" i="9"/>
  <c r="C42" i="9" s="1"/>
  <c r="F35" i="9"/>
  <c r="F34" i="9"/>
  <c r="E67" i="10"/>
  <c r="C199" i="5"/>
  <c r="E38" i="10"/>
  <c r="C573" i="1"/>
  <c r="C575" i="1"/>
  <c r="C571" i="1"/>
  <c r="C40" i="12"/>
  <c r="C38" i="12"/>
  <c r="G37" i="12"/>
  <c r="G40" i="12" s="1"/>
  <c r="G35" i="12"/>
  <c r="F203" i="9" l="1"/>
  <c r="F204" i="9"/>
  <c r="F206" i="9"/>
  <c r="F205" i="9"/>
  <c r="F145" i="9"/>
  <c r="F146" i="9"/>
  <c r="F144" i="9"/>
  <c r="C141" i="6"/>
  <c r="C147" i="6" s="1"/>
  <c r="C143" i="6"/>
  <c r="C149" i="6" s="1"/>
  <c r="C155" i="6"/>
  <c r="C156" i="6" s="1"/>
  <c r="C131" i="5"/>
  <c r="C273" i="5"/>
  <c r="C275" i="5" s="1"/>
  <c r="C277" i="5" s="1"/>
  <c r="C132" i="2"/>
  <c r="C134" i="2"/>
  <c r="C137" i="2" s="1"/>
  <c r="C143" i="2" s="1"/>
  <c r="C147" i="2"/>
  <c r="C247" i="2"/>
  <c r="C249" i="2"/>
  <c r="C251" i="2"/>
  <c r="C253" i="2"/>
  <c r="C258" i="2"/>
  <c r="C260" i="2"/>
  <c r="C282" i="2"/>
  <c r="C284" i="2"/>
  <c r="C286" i="2"/>
  <c r="C287" i="2"/>
  <c r="C291" i="2" s="1"/>
  <c r="C289" i="2"/>
  <c r="C294" i="2"/>
  <c r="C296" i="2" s="1"/>
  <c r="C165" i="9"/>
  <c r="C166" i="9"/>
  <c r="C170" i="9"/>
  <c r="C208" i="9"/>
  <c r="C209" i="9"/>
  <c r="C212" i="9"/>
  <c r="C391" i="9"/>
  <c r="C393" i="9"/>
  <c r="C396" i="9" s="1"/>
  <c r="C398" i="9" s="1"/>
  <c r="C399" i="9"/>
  <c r="C400" i="9"/>
  <c r="D435" i="9"/>
  <c r="D441" i="9"/>
  <c r="C62" i="1"/>
  <c r="C63" i="1"/>
  <c r="C65" i="1" s="1"/>
  <c r="C67" i="1"/>
  <c r="C430" i="1"/>
  <c r="C433" i="1"/>
  <c r="C440" i="1"/>
  <c r="C451" i="1"/>
  <c r="C453" i="1"/>
  <c r="C455" i="1" s="1"/>
  <c r="C457" i="1" s="1"/>
  <c r="C489" i="1"/>
  <c r="C491" i="1"/>
  <c r="C493" i="1" s="1"/>
  <c r="C620" i="1"/>
  <c r="C624" i="1"/>
  <c r="C631" i="1" s="1"/>
  <c r="C626" i="1"/>
  <c r="C13" i="10"/>
  <c r="F13" i="10"/>
  <c r="C18" i="10"/>
  <c r="F18" i="10"/>
  <c r="C24" i="10"/>
  <c r="F24" i="10"/>
  <c r="E27" i="10"/>
  <c r="E28" i="10"/>
  <c r="E29" i="10"/>
  <c r="E30" i="10"/>
  <c r="E31" i="10"/>
  <c r="E32" i="10"/>
  <c r="E33" i="10"/>
  <c r="E34" i="10"/>
  <c r="E35" i="10"/>
  <c r="E36" i="10"/>
  <c r="E37" i="10"/>
  <c r="E39" i="10"/>
  <c r="E40" i="10"/>
  <c r="E41" i="10"/>
  <c r="E42" i="10"/>
  <c r="E43" i="10"/>
  <c r="E44" i="10"/>
  <c r="E45" i="10"/>
  <c r="E46" i="10"/>
  <c r="E47" i="10"/>
  <c r="E48" i="10"/>
  <c r="E49" i="10"/>
  <c r="E50" i="10"/>
  <c r="E56" i="10"/>
  <c r="E57" i="10"/>
  <c r="E58" i="10"/>
  <c r="E59" i="10"/>
  <c r="E60" i="10"/>
  <c r="E61" i="10"/>
  <c r="E62" i="10"/>
  <c r="E63" i="10"/>
  <c r="E64" i="10"/>
  <c r="E65" i="10"/>
  <c r="E66" i="10"/>
  <c r="E68" i="10"/>
  <c r="E69" i="10"/>
  <c r="E70" i="10"/>
  <c r="E71" i="10"/>
  <c r="E72" i="10"/>
  <c r="E73" i="10"/>
  <c r="E74" i="10"/>
  <c r="E75" i="10"/>
  <c r="E76" i="10"/>
  <c r="E77" i="10"/>
  <c r="E78" i="10"/>
  <c r="E79" i="10"/>
  <c r="E80" i="10"/>
  <c r="D127" i="10"/>
  <c r="D129" i="10"/>
  <c r="D131" i="10" s="1"/>
  <c r="D133" i="10" s="1"/>
  <c r="D138" i="10"/>
  <c r="D142" i="10"/>
  <c r="D146" i="10"/>
  <c r="D150" i="10"/>
  <c r="D160" i="10"/>
  <c r="D162" i="10"/>
  <c r="D164" i="10" s="1"/>
  <c r="D166" i="10" s="1"/>
  <c r="D186" i="10"/>
  <c r="D188" i="10"/>
  <c r="D190" i="10" s="1"/>
  <c r="D195" i="10"/>
  <c r="D199" i="10"/>
  <c r="D204" i="10"/>
  <c r="D212" i="10"/>
  <c r="D214" i="10"/>
  <c r="C152" i="6" l="1"/>
  <c r="C153" i="6" s="1"/>
  <c r="C149" i="2"/>
  <c r="C150" i="2" s="1"/>
  <c r="C70" i="1"/>
  <c r="C71" i="1" s="1"/>
  <c r="C168" i="9"/>
  <c r="C299" i="2"/>
  <c r="C355" i="5"/>
  <c r="C357" i="5" s="1"/>
  <c r="C281" i="5"/>
  <c r="C361" i="5"/>
  <c r="C363" i="5" s="1"/>
  <c r="C359" i="5"/>
  <c r="C133" i="5"/>
  <c r="C289" i="5"/>
  <c r="C290" i="5" s="1"/>
  <c r="C344" i="5" s="1"/>
  <c r="C283" i="5"/>
  <c r="C284" i="5" s="1"/>
  <c r="C255" i="2"/>
  <c r="C263" i="2" s="1"/>
  <c r="C162" i="2"/>
  <c r="C164" i="2" s="1"/>
  <c r="C167" i="2" s="1"/>
  <c r="C211" i="9"/>
  <c r="C214" i="9" s="1"/>
  <c r="C172" i="9"/>
  <c r="C402" i="9"/>
  <c r="C404" i="9" s="1"/>
  <c r="D437" i="9"/>
  <c r="D443" i="9" s="1"/>
  <c r="D446" i="9" s="1"/>
  <c r="C629" i="1"/>
  <c r="C634" i="1"/>
  <c r="C635" i="1" s="1"/>
  <c r="C459" i="1"/>
  <c r="C463" i="1" s="1"/>
  <c r="C461" i="1"/>
  <c r="C153" i="2" l="1"/>
  <c r="C135" i="5"/>
  <c r="C219" i="5"/>
  <c r="C221" i="5" s="1"/>
  <c r="C147" i="5"/>
  <c r="C148" i="5" s="1"/>
  <c r="C202" i="5" s="1"/>
  <c r="C141" i="5"/>
  <c r="C142" i="5" s="1"/>
  <c r="C217" i="5"/>
  <c r="C304" i="5"/>
  <c r="C305" i="5" s="1"/>
  <c r="C346" i="5" s="1"/>
  <c r="C294" i="5"/>
  <c r="C295" i="5" s="1"/>
  <c r="C345" i="5" s="1"/>
  <c r="D448" i="9"/>
  <c r="D450" i="9" s="1"/>
  <c r="C341" i="5" l="1"/>
  <c r="C213" i="5"/>
  <c r="C215" i="5" s="1"/>
  <c r="C139" i="5"/>
  <c r="C152" i="5" l="1"/>
  <c r="C153" i="5" s="1"/>
  <c r="C203" i="5" s="1"/>
  <c r="C162" i="5"/>
  <c r="C163" i="5" s="1"/>
  <c r="C204" i="5" s="1"/>
  <c r="C349" i="5" l="1"/>
  <c r="C207" i="5"/>
  <c r="C210" i="5" l="1"/>
  <c r="C352" i="5"/>
</calcChain>
</file>

<file path=xl/sharedStrings.xml><?xml version="1.0" encoding="utf-8"?>
<sst xmlns="http://schemas.openxmlformats.org/spreadsheetml/2006/main" count="1778" uniqueCount="1032">
  <si>
    <t>NUCLEAR POWER</t>
  </si>
  <si>
    <t>STEAM TURBINE</t>
  </si>
  <si>
    <t>Input</t>
  </si>
  <si>
    <t>Calculate</t>
  </si>
  <si>
    <t>=</t>
  </si>
  <si>
    <t>Wout =</t>
  </si>
  <si>
    <t>CARNOT POWER CYCLE</t>
  </si>
  <si>
    <t>T =</t>
  </si>
  <si>
    <t>deg C</t>
  </si>
  <si>
    <t>deg F</t>
  </si>
  <si>
    <t>deg K</t>
  </si>
  <si>
    <t>deg R</t>
  </si>
  <si>
    <t xml:space="preserve">Ideal Power Cycle Efficiency = Carnot Cycle Efficiency </t>
  </si>
  <si>
    <t xml:space="preserve">Input </t>
  </si>
  <si>
    <t xml:space="preserve"> </t>
  </si>
  <si>
    <t>psia</t>
  </si>
  <si>
    <t>-</t>
  </si>
  <si>
    <t>0 =</t>
  </si>
  <si>
    <t>W</t>
  </si>
  <si>
    <t>hp</t>
  </si>
  <si>
    <t>Btu</t>
  </si>
  <si>
    <t>ft-lbf</t>
  </si>
  <si>
    <t>K</t>
  </si>
  <si>
    <t>ft</t>
  </si>
  <si>
    <t>m</t>
  </si>
  <si>
    <t>in</t>
  </si>
  <si>
    <t>lbf</t>
  </si>
  <si>
    <t>N</t>
  </si>
  <si>
    <t>kPa</t>
  </si>
  <si>
    <t>Otto  Cycle Indicator  Drawing</t>
  </si>
  <si>
    <t>Number of power strokes per minute,  N =</t>
  </si>
  <si>
    <t>Single cylinder bore diameter, D =</t>
  </si>
  <si>
    <t>Number of cylinders, C =</t>
  </si>
  <si>
    <t>rpm</t>
  </si>
  <si>
    <t xml:space="preserve"> Prony brake tare, T =</t>
  </si>
  <si>
    <t>lb</t>
  </si>
  <si>
    <t xml:space="preserve"> Prony brake arm length, B =</t>
  </si>
  <si>
    <t>Indicator card area, A =</t>
  </si>
  <si>
    <t>Gross weight on Prony brake, W =</t>
  </si>
  <si>
    <t>psi/in</t>
  </si>
  <si>
    <t>Indicated mean effective pressure, P =</t>
  </si>
  <si>
    <t>Indicator card spring scale factor, F =</t>
  </si>
  <si>
    <t>A * F / X</t>
  </si>
  <si>
    <t>Piston stroke inches,  l =</t>
  </si>
  <si>
    <t>Piston stroke feet, L =</t>
  </si>
  <si>
    <t>l / 12</t>
  </si>
  <si>
    <t xml:space="preserve">Total area of cylinders,  A = </t>
  </si>
  <si>
    <t>Number of strokes per revolution,  n =</t>
  </si>
  <si>
    <t>power strokes / min</t>
  </si>
  <si>
    <t>Indicated horse power, IHP =</t>
  </si>
  <si>
    <t>PLAN / 33,000</t>
  </si>
  <si>
    <t>C * π * D^2 / 4</t>
  </si>
  <si>
    <t xml:space="preserve"> Engine force on Prony brake, E =</t>
  </si>
  <si>
    <t>W - T</t>
  </si>
  <si>
    <t>Indicated Horse Power IHP</t>
  </si>
  <si>
    <t>Brake Horse Power BHP</t>
  </si>
  <si>
    <t>BHP =</t>
  </si>
  <si>
    <t>bhp</t>
  </si>
  <si>
    <t>Number of strokes per power cycle,  S =</t>
  </si>
  <si>
    <t>2 * n * R / S</t>
  </si>
  <si>
    <t>Engine crank rotational speed, n =</t>
  </si>
  <si>
    <t>2*π*(B/12)*E*n / 33,000</t>
  </si>
  <si>
    <t>Mechanical Efficiency</t>
  </si>
  <si>
    <t xml:space="preserve">BHP / IHP </t>
  </si>
  <si>
    <t>Otto Cycle Engine Power - US Units</t>
  </si>
  <si>
    <t>Otto Cycle Engine Power - SI Units</t>
  </si>
  <si>
    <t>cm</t>
  </si>
  <si>
    <t>l / 100</t>
  </si>
  <si>
    <t>kW</t>
  </si>
  <si>
    <t>2*π*B*E*n / (60 * 1000)</t>
  </si>
  <si>
    <t>GASOLINE ENGINES</t>
  </si>
  <si>
    <t>DIESEL ENGINES</t>
  </si>
  <si>
    <t>GAS TURBINES</t>
  </si>
  <si>
    <t>Btu/lbm</t>
  </si>
  <si>
    <t>R =</t>
  </si>
  <si>
    <t>m^3/kg</t>
  </si>
  <si>
    <t>kJ/kg</t>
  </si>
  <si>
    <t>k =</t>
  </si>
  <si>
    <t>Pa</t>
  </si>
  <si>
    <t>Mpa</t>
  </si>
  <si>
    <t>Work output per cycle,  Wout =</t>
  </si>
  <si>
    <t>http://www.engineeringtoolbox.com/dry-air-properties-d_973.html</t>
  </si>
  <si>
    <t>Some common properties like</t>
  </si>
  <si>
    <t>specific heat capacity</t>
  </si>
  <si>
    <t>ratio of specific heats</t>
  </si>
  <si>
    <t>dynamic viscosity</t>
  </si>
  <si>
    <t>thermal conductivity</t>
  </si>
  <si>
    <t>Prandtl number</t>
  </si>
  <si>
    <t>density</t>
  </si>
  <si>
    <t>kinematic viscosity</t>
  </si>
  <si>
    <t>Temperature</t>
  </si>
  <si>
    <t>Specific Heat Capacity</t>
  </si>
  <si>
    <t>Ratio of Specific Heats</t>
  </si>
  <si>
    <t>Dynamic Viscosity</t>
  </si>
  <si>
    <t>(kg/m s)</t>
  </si>
  <si>
    <t>Thermal Conductivity</t>
  </si>
  <si>
    <t>(kW/m K)</t>
  </si>
  <si>
    <t>Prandtl Number</t>
  </si>
  <si>
    <t>Kinematic Viscosity1)</t>
  </si>
  <si>
    <t>Density1)</t>
  </si>
  <si>
    <t>(kJ/kgK)</t>
  </si>
  <si>
    <t>175</t>
  </si>
  <si>
    <t>1.0023</t>
  </si>
  <si>
    <t>0.7152</t>
  </si>
  <si>
    <t>1.401</t>
  </si>
  <si>
    <t>1.182</t>
  </si>
  <si>
    <t>1.593</t>
  </si>
  <si>
    <t>0.744</t>
  </si>
  <si>
    <t>0.586</t>
  </si>
  <si>
    <t>2.017</t>
  </si>
  <si>
    <t>200</t>
  </si>
  <si>
    <t>1.0025</t>
  </si>
  <si>
    <t>0.7154</t>
  </si>
  <si>
    <t>1.329</t>
  </si>
  <si>
    <t>1.809</t>
  </si>
  <si>
    <t>0.736</t>
  </si>
  <si>
    <t>0.753</t>
  </si>
  <si>
    <t>1.765</t>
  </si>
  <si>
    <t>225</t>
  </si>
  <si>
    <t>1.0027</t>
  </si>
  <si>
    <t>0.7156</t>
  </si>
  <si>
    <t>1.467</t>
  </si>
  <si>
    <t>2.020</t>
  </si>
  <si>
    <t>0.728</t>
  </si>
  <si>
    <t>0.935</t>
  </si>
  <si>
    <t>1.569</t>
  </si>
  <si>
    <t>250</t>
  </si>
  <si>
    <t>1.0031</t>
  </si>
  <si>
    <t>0.7160</t>
  </si>
  <si>
    <t>1.599</t>
  </si>
  <si>
    <t>2.227</t>
  </si>
  <si>
    <t>0.720</t>
  </si>
  <si>
    <t>1.132</t>
  </si>
  <si>
    <t>1.412</t>
  </si>
  <si>
    <t>275</t>
  </si>
  <si>
    <t>1.0038</t>
  </si>
  <si>
    <t>0.7167</t>
  </si>
  <si>
    <t>1.725</t>
  </si>
  <si>
    <t>2.428</t>
  </si>
  <si>
    <t>0.713</t>
  </si>
  <si>
    <t>1.343</t>
  </si>
  <si>
    <t>1.284</t>
  </si>
  <si>
    <t>300</t>
  </si>
  <si>
    <t>1.0049</t>
  </si>
  <si>
    <t>0.7178</t>
  </si>
  <si>
    <t>1.400</t>
  </si>
  <si>
    <t>1.846</t>
  </si>
  <si>
    <t>2.624</t>
  </si>
  <si>
    <t>0.707</t>
  </si>
  <si>
    <t>1.568</t>
  </si>
  <si>
    <t>1.177</t>
  </si>
  <si>
    <t>325</t>
  </si>
  <si>
    <t>1.0063</t>
  </si>
  <si>
    <t>0.7192</t>
  </si>
  <si>
    <t>1.962</t>
  </si>
  <si>
    <t>2.816</t>
  </si>
  <si>
    <t>0.701</t>
  </si>
  <si>
    <t>1.807</t>
  </si>
  <si>
    <t>1.086</t>
  </si>
  <si>
    <t>350</t>
  </si>
  <si>
    <t>1.0082</t>
  </si>
  <si>
    <t>0.7211</t>
  </si>
  <si>
    <t>1.398</t>
  </si>
  <si>
    <t>2.075</t>
  </si>
  <si>
    <t>3.003</t>
  </si>
  <si>
    <t>0.697</t>
  </si>
  <si>
    <t>2.056</t>
  </si>
  <si>
    <t>1.009</t>
  </si>
  <si>
    <t>375</t>
  </si>
  <si>
    <t>1.0106</t>
  </si>
  <si>
    <t>0.7235</t>
  </si>
  <si>
    <t>1.397</t>
  </si>
  <si>
    <t>2.181</t>
  </si>
  <si>
    <t>3.186</t>
  </si>
  <si>
    <t>0.692</t>
  </si>
  <si>
    <t>2.317</t>
  </si>
  <si>
    <t>0.9413</t>
  </si>
  <si>
    <t>400</t>
  </si>
  <si>
    <t>1.0135</t>
  </si>
  <si>
    <t>0.7264</t>
  </si>
  <si>
    <t>1.395</t>
  </si>
  <si>
    <t>2.286</t>
  </si>
  <si>
    <t>3.365</t>
  </si>
  <si>
    <t>0.688</t>
  </si>
  <si>
    <t>2.591</t>
  </si>
  <si>
    <t>0.8824</t>
  </si>
  <si>
    <t>450</t>
  </si>
  <si>
    <t>1.0206</t>
  </si>
  <si>
    <t>0.7335</t>
  </si>
  <si>
    <t>1.391</t>
  </si>
  <si>
    <t>2.485</t>
  </si>
  <si>
    <t>3.710</t>
  </si>
  <si>
    <t>0.684</t>
  </si>
  <si>
    <t>3.168</t>
  </si>
  <si>
    <t>0.7844</t>
  </si>
  <si>
    <t>500</t>
  </si>
  <si>
    <t>1.0295</t>
  </si>
  <si>
    <t>0.7424</t>
  </si>
  <si>
    <t>1.387</t>
  </si>
  <si>
    <t>2.670</t>
  </si>
  <si>
    <t>4.041</t>
  </si>
  <si>
    <t>0.680</t>
  </si>
  <si>
    <t>3.782</t>
  </si>
  <si>
    <t>0.7060</t>
  </si>
  <si>
    <t>550</t>
  </si>
  <si>
    <t>1.0398</t>
  </si>
  <si>
    <t>0.7527</t>
  </si>
  <si>
    <t>1.381</t>
  </si>
  <si>
    <t>2.849</t>
  </si>
  <si>
    <t>4.357</t>
  </si>
  <si>
    <t>4.439</t>
  </si>
  <si>
    <t>0.6418</t>
  </si>
  <si>
    <t>600</t>
  </si>
  <si>
    <t>1.0511</t>
  </si>
  <si>
    <t>0.7640</t>
  </si>
  <si>
    <t>1.376</t>
  </si>
  <si>
    <t>3.017</t>
  </si>
  <si>
    <t>4.661</t>
  </si>
  <si>
    <t>5.128</t>
  </si>
  <si>
    <t>0.5883</t>
  </si>
  <si>
    <t>650</t>
  </si>
  <si>
    <t>1.0629</t>
  </si>
  <si>
    <t>0.7758</t>
  </si>
  <si>
    <t>1.370</t>
  </si>
  <si>
    <t>3.178</t>
  </si>
  <si>
    <t>4.954</t>
  </si>
  <si>
    <t>0.682</t>
  </si>
  <si>
    <t>5.853</t>
  </si>
  <si>
    <t>0.5430</t>
  </si>
  <si>
    <t>700</t>
  </si>
  <si>
    <t>1.0750</t>
  </si>
  <si>
    <t>0.7879</t>
  </si>
  <si>
    <t>1.364</t>
  </si>
  <si>
    <t>3.332</t>
  </si>
  <si>
    <t>5.236</t>
  </si>
  <si>
    <t>6.607</t>
  </si>
  <si>
    <t>0.5043</t>
  </si>
  <si>
    <t>750</t>
  </si>
  <si>
    <t>1.0870</t>
  </si>
  <si>
    <t>0.7999</t>
  </si>
  <si>
    <t>1.359</t>
  </si>
  <si>
    <t>3.482</t>
  </si>
  <si>
    <t>5.509</t>
  </si>
  <si>
    <t>0.687</t>
  </si>
  <si>
    <t>7.399</t>
  </si>
  <si>
    <t>0.4706</t>
  </si>
  <si>
    <t>800</t>
  </si>
  <si>
    <t>1.0987</t>
  </si>
  <si>
    <t>0.8116</t>
  </si>
  <si>
    <t>1.354</t>
  </si>
  <si>
    <t>3.624</t>
  </si>
  <si>
    <t>5.774</t>
  </si>
  <si>
    <t>0.690</t>
  </si>
  <si>
    <t>8.214</t>
  </si>
  <si>
    <t>0.4412</t>
  </si>
  <si>
    <t>850</t>
  </si>
  <si>
    <t>1.1101</t>
  </si>
  <si>
    <t>0.8230</t>
  </si>
  <si>
    <t>1.349</t>
  </si>
  <si>
    <t>3.763</t>
  </si>
  <si>
    <t>6.030</t>
  </si>
  <si>
    <t>0.693</t>
  </si>
  <si>
    <t>9.061</t>
  </si>
  <si>
    <t>0.4153</t>
  </si>
  <si>
    <t>900</t>
  </si>
  <si>
    <t>1.1209</t>
  </si>
  <si>
    <t>0.8338</t>
  </si>
  <si>
    <t>1.344</t>
  </si>
  <si>
    <t>3.897</t>
  </si>
  <si>
    <t>6.276</t>
  </si>
  <si>
    <t>0.696</t>
  </si>
  <si>
    <t>9.936</t>
  </si>
  <si>
    <t>0.3922</t>
  </si>
  <si>
    <t>950</t>
  </si>
  <si>
    <t>1.1313</t>
  </si>
  <si>
    <t>0.8442</t>
  </si>
  <si>
    <t>1.340</t>
  </si>
  <si>
    <t>4.026</t>
  </si>
  <si>
    <t>6.520</t>
  </si>
  <si>
    <t>0.699</t>
  </si>
  <si>
    <t>10.83</t>
  </si>
  <si>
    <t>0.3716</t>
  </si>
  <si>
    <t>1000</t>
  </si>
  <si>
    <t>1.1411</t>
  </si>
  <si>
    <t>0.8540</t>
  </si>
  <si>
    <t>1.336</t>
  </si>
  <si>
    <t>4.153</t>
  </si>
  <si>
    <t>6.754</t>
  </si>
  <si>
    <t>0.702</t>
  </si>
  <si>
    <t>11.76</t>
  </si>
  <si>
    <t>0.3530</t>
  </si>
  <si>
    <t>1050</t>
  </si>
  <si>
    <t>1.1502</t>
  </si>
  <si>
    <t>0.8631</t>
  </si>
  <si>
    <t>1.333</t>
  </si>
  <si>
    <t>4.276</t>
  </si>
  <si>
    <t>6.985</t>
  </si>
  <si>
    <t>0.704</t>
  </si>
  <si>
    <t>12.72</t>
  </si>
  <si>
    <t>0.3362</t>
  </si>
  <si>
    <t>1100</t>
  </si>
  <si>
    <t>1.1589</t>
  </si>
  <si>
    <t>0.8718</t>
  </si>
  <si>
    <t>4.396</t>
  </si>
  <si>
    <t>7.209</t>
  </si>
  <si>
    <t>13.70</t>
  </si>
  <si>
    <t>0.3209</t>
  </si>
  <si>
    <t>1150</t>
  </si>
  <si>
    <t>1.1670</t>
  </si>
  <si>
    <t>0.8799</t>
  </si>
  <si>
    <t>1.326</t>
  </si>
  <si>
    <t>4.511</t>
  </si>
  <si>
    <t>7.427</t>
  </si>
  <si>
    <t>0.709</t>
  </si>
  <si>
    <t>14.70</t>
  </si>
  <si>
    <t>0.3069</t>
  </si>
  <si>
    <t>1200</t>
  </si>
  <si>
    <t>1.1746</t>
  </si>
  <si>
    <t>0.8875</t>
  </si>
  <si>
    <t>1.323</t>
  </si>
  <si>
    <t>4.626</t>
  </si>
  <si>
    <t>7.640</t>
  </si>
  <si>
    <t>0.711</t>
  </si>
  <si>
    <t>15.73</t>
  </si>
  <si>
    <t>0.2941</t>
  </si>
  <si>
    <t>1250</t>
  </si>
  <si>
    <t>1.1817</t>
  </si>
  <si>
    <t>0.8946</t>
  </si>
  <si>
    <t>1.321</t>
  </si>
  <si>
    <t>4.736</t>
  </si>
  <si>
    <t>7.849</t>
  </si>
  <si>
    <t>16.77</t>
  </si>
  <si>
    <t>0.2824</t>
  </si>
  <si>
    <t>1300</t>
  </si>
  <si>
    <t>1.1884</t>
  </si>
  <si>
    <t>0.9013</t>
  </si>
  <si>
    <t>1.319</t>
  </si>
  <si>
    <t>4.846</t>
  </si>
  <si>
    <t>8.054</t>
  </si>
  <si>
    <t>0.715</t>
  </si>
  <si>
    <t>17.85</t>
  </si>
  <si>
    <t>0.2715</t>
  </si>
  <si>
    <t>1350</t>
  </si>
  <si>
    <t>1.1946</t>
  </si>
  <si>
    <t>0.9075</t>
  </si>
  <si>
    <t>1.316</t>
  </si>
  <si>
    <t>4.952</t>
  </si>
  <si>
    <t>8.253</t>
  </si>
  <si>
    <t>0.717</t>
  </si>
  <si>
    <t>18.94</t>
  </si>
  <si>
    <t>0.2615</t>
  </si>
  <si>
    <t>1400</t>
  </si>
  <si>
    <t>1.2005</t>
  </si>
  <si>
    <t>0.9134</t>
  </si>
  <si>
    <t>1.314</t>
  </si>
  <si>
    <t>5.057</t>
  </si>
  <si>
    <t>8.450</t>
  </si>
  <si>
    <t>0.719</t>
  </si>
  <si>
    <t>20.06</t>
  </si>
  <si>
    <t>0.2521</t>
  </si>
  <si>
    <t>1500</t>
  </si>
  <si>
    <t>1.2112</t>
  </si>
  <si>
    <t>0.9241</t>
  </si>
  <si>
    <t>1.311</t>
  </si>
  <si>
    <t>5.264</t>
  </si>
  <si>
    <t>8.831</t>
  </si>
  <si>
    <t>0.722</t>
  </si>
  <si>
    <t>22.36</t>
  </si>
  <si>
    <t>0.2353</t>
  </si>
  <si>
    <t>1600</t>
  </si>
  <si>
    <t>1.2207</t>
  </si>
  <si>
    <t>0.9336</t>
  </si>
  <si>
    <t>1.308</t>
  </si>
  <si>
    <t>5.457</t>
  </si>
  <si>
    <t>9.199</t>
  </si>
  <si>
    <t>0.724</t>
  </si>
  <si>
    <t>24.74</t>
  </si>
  <si>
    <t>0.2206</t>
  </si>
  <si>
    <t>1700</t>
  </si>
  <si>
    <t>1.2293</t>
  </si>
  <si>
    <t>0.9422</t>
  </si>
  <si>
    <t>1.305</t>
  </si>
  <si>
    <t>5.646</t>
  </si>
  <si>
    <t>9.554</t>
  </si>
  <si>
    <t>0.726</t>
  </si>
  <si>
    <t>27.20</t>
  </si>
  <si>
    <t>0.2076</t>
  </si>
  <si>
    <t>1800</t>
  </si>
  <si>
    <t>1.2370</t>
  </si>
  <si>
    <t>0.9499</t>
  </si>
  <si>
    <t>1.302</t>
  </si>
  <si>
    <t>5.829</t>
  </si>
  <si>
    <t>9.899</t>
  </si>
  <si>
    <t>29.72</t>
  </si>
  <si>
    <t>0.1961</t>
  </si>
  <si>
    <t>1900</t>
  </si>
  <si>
    <t>1.2440</t>
  </si>
  <si>
    <t>0.9569</t>
  </si>
  <si>
    <t>1.300</t>
  </si>
  <si>
    <t>6.008</t>
  </si>
  <si>
    <t>10.233</t>
  </si>
  <si>
    <t>0.730</t>
  </si>
  <si>
    <t>32.34</t>
  </si>
  <si>
    <t>0.1858</t>
  </si>
  <si>
    <t>At turbine inlet at C,  PC =</t>
  </si>
  <si>
    <t>TC =</t>
  </si>
  <si>
    <t>%</t>
  </si>
  <si>
    <t>Btu/lbm-deg R</t>
  </si>
  <si>
    <t>TA*(PB / PA)^(k-1)/k</t>
  </si>
  <si>
    <t>TA*( r )^(k-1)/k</t>
  </si>
  <si>
    <t>Back work ratio,  BWr =</t>
  </si>
  <si>
    <t>Cp*(TB - TA) / (Cp*(TC - TD)</t>
  </si>
  <si>
    <t>1 - r^(1-k)/k</t>
  </si>
  <si>
    <t>multiply by</t>
  </si>
  <si>
    <t>psi</t>
  </si>
  <si>
    <t>MPa</t>
  </si>
  <si>
    <t>J</t>
  </si>
  <si>
    <t>m/s</t>
  </si>
  <si>
    <t>OK</t>
  </si>
  <si>
    <t>tC =</t>
  </si>
  <si>
    <t>tF =</t>
  </si>
  <si>
    <t>TF =</t>
  </si>
  <si>
    <t>Temperature Conversions</t>
  </si>
  <si>
    <t>deg C + 273</t>
  </si>
  <si>
    <t>High temperature heat transfer,  QH =</t>
  </si>
  <si>
    <t>Power delivered by Carnot engine,  PDout =</t>
  </si>
  <si>
    <t>PD / η</t>
  </si>
  <si>
    <t>QH - PD</t>
  </si>
  <si>
    <t>Low temperature heat transfer,  QL =</t>
  </si>
  <si>
    <t>High temperature entropy change,  sH =</t>
  </si>
  <si>
    <t>Low temperature entering Carnot engine, TL</t>
  </si>
  <si>
    <t>High temperature leaving Carnot engine, TH</t>
  </si>
  <si>
    <t>TL =</t>
  </si>
  <si>
    <t>TH =</t>
  </si>
  <si>
    <t>Low temperature entering the engine, TL</t>
  </si>
  <si>
    <t>High temperature leaving the engine, TH</t>
  </si>
  <si>
    <t>sec</t>
  </si>
  <si>
    <t>Low temperature entropy change,  sL =</t>
  </si>
  <si>
    <t>- QH*Δt / TH</t>
  </si>
  <si>
    <t>QL*Δt / TL</t>
  </si>
  <si>
    <t>sH - sL</t>
  </si>
  <si>
    <t>Given Carnot Engine Power, Temperature Range and Operating Time:</t>
  </si>
  <si>
    <t>Mass of air, m =</t>
  </si>
  <si>
    <t>kg</t>
  </si>
  <si>
    <t>Constant pressure,  P =</t>
  </si>
  <si>
    <t>Air initial volume,  V =</t>
  </si>
  <si>
    <t>m^3</t>
  </si>
  <si>
    <t>Air Heated at Constant Pressure</t>
  </si>
  <si>
    <t>P*V / (m*R)</t>
  </si>
  <si>
    <t>Pa*m^3/g*K</t>
  </si>
  <si>
    <t>Initial temperature, Ta =</t>
  </si>
  <si>
    <t>m*((Cp*ln(Tb/Ta) - (R*ln(1)</t>
  </si>
  <si>
    <t>Final temperature, Tb =</t>
  </si>
  <si>
    <t>kJ/deg K</t>
  </si>
  <si>
    <t>Air heated to max temperature, tb =</t>
  </si>
  <si>
    <t>tb + 273</t>
  </si>
  <si>
    <t>5*(deg F - 32)/9</t>
  </si>
  <si>
    <t>(9*deg C/5) + 32</t>
  </si>
  <si>
    <t>Temperature is the intensity of heat:</t>
  </si>
  <si>
    <t>deg F + 460</t>
  </si>
  <si>
    <t>(sb - sf) / sfg</t>
  </si>
  <si>
    <t>lbm/sec</t>
  </si>
  <si>
    <t>FREE STEAM TABLE CALCULATOR (shown below) download from:</t>
  </si>
  <si>
    <t>hfg = hg - hf =</t>
  </si>
  <si>
    <t>sfg = sg - sf =</t>
  </si>
  <si>
    <t>Btu/sec</t>
  </si>
  <si>
    <t>kJ/kg-degK</t>
  </si>
  <si>
    <t>Superheated Steam</t>
  </si>
  <si>
    <t>Saturated Steam/Water Mixture</t>
  </si>
  <si>
    <t>hf + xb*hfg</t>
  </si>
  <si>
    <t>hfg =</t>
  </si>
  <si>
    <t>hg - hf</t>
  </si>
  <si>
    <t>Gaseous entropy at c,  sg =</t>
  </si>
  <si>
    <t>(sc - sg) / sfg</t>
  </si>
  <si>
    <t>Steam removed for process use, W =</t>
  </si>
  <si>
    <t>Turbine entropy from calculator below,  sb = sa =</t>
  </si>
  <si>
    <t>From calculator at start, sc = sb =</t>
  </si>
  <si>
    <t>From calculator directly above,  sfg = sg - sf =</t>
  </si>
  <si>
    <t>From calculator at start, sb = sa =</t>
  </si>
  <si>
    <t>Throttling Device</t>
  </si>
  <si>
    <t>Temperature an Enthalpy downstream from calculator above or steam tables</t>
  </si>
  <si>
    <t>Enthalpy of gas,  hg =</t>
  </si>
  <si>
    <t>Enthalpy of liquid or fluid,  hf =</t>
  </si>
  <si>
    <t>Steam quality, x =</t>
  </si>
  <si>
    <t>(ha - hf) / hfg</t>
  </si>
  <si>
    <t>Specific volume downstream,  vb =</t>
  </si>
  <si>
    <t>vf + x*(vg - vf)</t>
  </si>
  <si>
    <t>Specific volume of gas,  vg =</t>
  </si>
  <si>
    <t>Specific volume of liquid or fluid,  vf =</t>
  </si>
  <si>
    <t xml:space="preserve">Enter downstream pressure only above. </t>
  </si>
  <si>
    <t>Water inlet velocity,  Va =</t>
  </si>
  <si>
    <t>ft/sec</t>
  </si>
  <si>
    <t>Vb =</t>
  </si>
  <si>
    <t xml:space="preserve"> ρa*Va*Aa / ( ρb*Ab)</t>
  </si>
  <si>
    <t>Inlet diameter,  Da =</t>
  </si>
  <si>
    <t>Outlet diameter,  Db =</t>
  </si>
  <si>
    <t>Inlet area,  Aa =</t>
  </si>
  <si>
    <t>Outlet area,  Ab =</t>
  </si>
  <si>
    <t>in^2</t>
  </si>
  <si>
    <t xml:space="preserve"> ρa*Va*Aa  =</t>
  </si>
  <si>
    <t>ρb*Vb*Ab</t>
  </si>
  <si>
    <t xml:space="preserve"> Va*Aa / (Ab)</t>
  </si>
  <si>
    <t>Mass flux,  dm/dt =</t>
  </si>
  <si>
    <t>lbm/ft^3</t>
  </si>
  <si>
    <t>ρ*(Aa/144)*Va</t>
  </si>
  <si>
    <t>P*550</t>
  </si>
  <si>
    <t>ft-lbf/sec</t>
  </si>
  <si>
    <t xml:space="preserve"> =</t>
  </si>
  <si>
    <t>Pump power,  dW/dt =</t>
  </si>
  <si>
    <t>lbf/ft^2</t>
  </si>
  <si>
    <t>dm/dt*[(Pb - Pa) / ρ) + (Vb^2 - Va^2) / 2*32.2)]</t>
  </si>
  <si>
    <t>ρa =</t>
  </si>
  <si>
    <t>ρb</t>
  </si>
  <si>
    <t>π*Da^2/4</t>
  </si>
  <si>
    <t>π*Db^2/4</t>
  </si>
  <si>
    <t>(Pb - Pa)/ρ =</t>
  </si>
  <si>
    <t>ρ*(-dW/dt / dm/dt) - (Vb^2 - Va^2) /(2*32.2))</t>
  </si>
  <si>
    <t>UNITS</t>
  </si>
  <si>
    <t>OBTAIN</t>
  </si>
  <si>
    <t>CONVERT FROM US TO METRIC UNITS</t>
  </si>
  <si>
    <t>lbm</t>
  </si>
  <si>
    <t>s</t>
  </si>
  <si>
    <t>rad/s</t>
  </si>
  <si>
    <t>W or J/s</t>
  </si>
  <si>
    <t>kg/s</t>
  </si>
  <si>
    <t>kJ/kg-deg K</t>
  </si>
  <si>
    <t>--</t>
  </si>
  <si>
    <t>Divide by</t>
  </si>
  <si>
    <t>Boiler with Superheat and Reheat</t>
  </si>
  <si>
    <t>Make-up water pressure,  Pd = Pe = Pf =</t>
  </si>
  <si>
    <t>Boiler steam output pressure,  Pa =</t>
  </si>
  <si>
    <t>Turbine exhaust to condenser,  Pc =</t>
  </si>
  <si>
    <t>Liquid entropy at b,  sf =</t>
  </si>
  <si>
    <t>Gaseous entropy at b,   sg =</t>
  </si>
  <si>
    <t xml:space="preserve">Turbine with Process Steam Extraction </t>
  </si>
  <si>
    <t>Steam/water from table directly above at b</t>
  </si>
  <si>
    <t xml:space="preserve">Open the Steam Calculator below and enter steam condenser pressure at  c only. </t>
  </si>
  <si>
    <t>Steam/water from table directly above at c</t>
  </si>
  <si>
    <t>Liquid entropy  at c,   sf =</t>
  </si>
  <si>
    <t>Gaseous enthalpy at c,  hg =</t>
  </si>
  <si>
    <t>Liquid enthalpy at c,   hf =</t>
  </si>
  <si>
    <t>Steam quality at c,  xc =</t>
  </si>
  <si>
    <t>Enthalpy at turbine exhaust to condenser,  hc =</t>
  </si>
  <si>
    <t>Gaseous enthalpy at b,  hg =</t>
  </si>
  <si>
    <t>Liquid enthalpy at b,  hf =</t>
  </si>
  <si>
    <t>Energy input, Qin =</t>
  </si>
  <si>
    <t>Work output,  Wout =</t>
  </si>
  <si>
    <t>INPUT QTY</t>
  </si>
  <si>
    <t>Steam enters turbine at pressure,  P3 =</t>
  </si>
  <si>
    <t>Steam enters turbine at temperature,  t3 =</t>
  </si>
  <si>
    <t>Steam is reheated to a pressure of,  P5 =</t>
  </si>
  <si>
    <t>Steam is reheated to a temperature of,  t5 =</t>
  </si>
  <si>
    <t>Steam is expanded to condenser at, P6 =</t>
  </si>
  <si>
    <t>Enthalpy at 3 from table below, h3 =</t>
  </si>
  <si>
    <t>Enthalpy at 5 from table below, h5 =</t>
  </si>
  <si>
    <t>Steam entropy entering turbine above, s3 =</t>
  </si>
  <si>
    <t>Steam quality at 6,  x6 =</t>
  </si>
  <si>
    <t>(h5 - h4) + (h3 - h2)</t>
  </si>
  <si>
    <t>(h5 - h6) + (h3 - h4)</t>
  </si>
  <si>
    <t>Liquid enthalpy at point 2 from table, h1 = h2 =</t>
  </si>
  <si>
    <t>Gaseous enthalpy at point 2 from table below, hg2 =</t>
  </si>
  <si>
    <t>Liquid entropy at point 2 from table below, sf2 =</t>
  </si>
  <si>
    <t>Gaseous entropy at point 2 from table below, sg2 =</t>
  </si>
  <si>
    <t>In the quality region, s6 =</t>
  </si>
  <si>
    <t>s5</t>
  </si>
  <si>
    <t>Fluid entropy from calculator above, sf6 = sf5 =</t>
  </si>
  <si>
    <t>Gaseous entropy from calculator, sg6 = sg5 =</t>
  </si>
  <si>
    <t xml:space="preserve"> sg6 - sf6 </t>
  </si>
  <si>
    <t>Fluid enthalpy from calculator, hf6 = hf5 =</t>
  </si>
  <si>
    <t>Gaseous enthalpy from calculator, hg6 = hg5 =</t>
  </si>
  <si>
    <t xml:space="preserve"> hg6 - hf6 </t>
  </si>
  <si>
    <t>Enthalpy at 6,  h6 =</t>
  </si>
  <si>
    <t>hf6 + x6 * hfg</t>
  </si>
  <si>
    <t>Fluid enthalpy from calculator, hf4 =</t>
  </si>
  <si>
    <t>Gaseous enthalpy from calculator, hg4 =</t>
  </si>
  <si>
    <t xml:space="preserve"> hg4 - hf4</t>
  </si>
  <si>
    <t>Enthalpy at 4,  h4 =</t>
  </si>
  <si>
    <t>hf4 + x4 * hfg</t>
  </si>
  <si>
    <t>Fluid entropy from calculator above,  sf4 =</t>
  </si>
  <si>
    <t>Gaseous entropy from calculator,  sg4 =</t>
  </si>
  <si>
    <t xml:space="preserve"> sg4 - sf4 </t>
  </si>
  <si>
    <t>Steam quality at 4,  x4 =</t>
  </si>
  <si>
    <t>(s3 - sf4) / sfg</t>
  </si>
  <si>
    <t>Not ok</t>
  </si>
  <si>
    <t>Wout / Qin</t>
  </si>
  <si>
    <t>Atmospheric pressure, Patm =</t>
  </si>
  <si>
    <t>Piston mass,  Mp =</t>
  </si>
  <si>
    <t>Initial steam quality,  x1 =</t>
  </si>
  <si>
    <t>Force balance,  P1*A =</t>
  </si>
  <si>
    <t>Piston area,  A =</t>
  </si>
  <si>
    <t>Piston diameter,  D =</t>
  </si>
  <si>
    <t>Piston initial position,  L1 =</t>
  </si>
  <si>
    <t>Piston travel,  L2 =</t>
  </si>
  <si>
    <t>mm</t>
  </si>
  <si>
    <t xml:space="preserve">m </t>
  </si>
  <si>
    <t>m^2</t>
  </si>
  <si>
    <t>Mp*9.81</t>
  </si>
  <si>
    <t>KPa</t>
  </si>
  <si>
    <t>Patm*1000</t>
  </si>
  <si>
    <t>P1 =</t>
  </si>
  <si>
    <t>a. the initial pressure,  P1 =</t>
  </si>
  <si>
    <t>Piston force,  Fp =</t>
  </si>
  <si>
    <t>Patm*A + Fp</t>
  </si>
  <si>
    <t>Final temperature,  t2 =</t>
  </si>
  <si>
    <t>Car Wind Drag Example</t>
  </si>
  <si>
    <t xml:space="preserve">Calculate </t>
  </si>
  <si>
    <t>Car traveling speed,  S =</t>
  </si>
  <si>
    <t>Car projected area,  A =</t>
  </si>
  <si>
    <t>kg/m^3</t>
  </si>
  <si>
    <t>Air drag force,  Fd =</t>
  </si>
  <si>
    <t>Fd*V</t>
  </si>
  <si>
    <t>Watts</t>
  </si>
  <si>
    <t>W/746</t>
  </si>
  <si>
    <t>Watts or J/s</t>
  </si>
  <si>
    <t>mph =</t>
  </si>
  <si>
    <t>km/h =</t>
  </si>
  <si>
    <t>ft =</t>
  </si>
  <si>
    <t>m =</t>
  </si>
  <si>
    <t>m * 3.28084</t>
  </si>
  <si>
    <t>m^2 =</t>
  </si>
  <si>
    <t>ft^2 =</t>
  </si>
  <si>
    <t>m^2 * 3.28084^2</t>
  </si>
  <si>
    <t>kg/m^3 =</t>
  </si>
  <si>
    <t xml:space="preserve">(kg/m^3) * 0.0624279 </t>
  </si>
  <si>
    <t>Units Conversion</t>
  </si>
  <si>
    <t>SI Units - Air Drag Power</t>
  </si>
  <si>
    <t>US Units - Air Drag Power</t>
  </si>
  <si>
    <t>mph</t>
  </si>
  <si>
    <t>ft^2</t>
  </si>
  <si>
    <t>Fd*V / 550</t>
  </si>
  <si>
    <t>Air drag power, Watts =</t>
  </si>
  <si>
    <t>hp*746</t>
  </si>
  <si>
    <t>mph*88/60</t>
  </si>
  <si>
    <t>Car velocity,  V =</t>
  </si>
  <si>
    <t>km/h * 0.6213712</t>
  </si>
  <si>
    <t>km/h</t>
  </si>
  <si>
    <t>S*0.277778</t>
  </si>
  <si>
    <t>lb/ft^3 =</t>
  </si>
  <si>
    <t>Drive shaft torque,  T =</t>
  </si>
  <si>
    <t>Nm</t>
  </si>
  <si>
    <t>Calculation</t>
  </si>
  <si>
    <t>Shaft rotational speed,  ω =</t>
  </si>
  <si>
    <t>Power,  Watts =</t>
  </si>
  <si>
    <t>T*ω</t>
  </si>
  <si>
    <t>Horsepower delivered,  Hp =</t>
  </si>
  <si>
    <t>Watts / 746</t>
  </si>
  <si>
    <t>lbf =</t>
  </si>
  <si>
    <t>Shaft rotational speed,  S =</t>
  </si>
  <si>
    <t>N =</t>
  </si>
  <si>
    <t>N*m =</t>
  </si>
  <si>
    <t>ft-lbf =</t>
  </si>
  <si>
    <t>SI Units - Drive Shaft Torque</t>
  </si>
  <si>
    <t>US Units - Drive Shaft Torque</t>
  </si>
  <si>
    <t>N / 4.448</t>
  </si>
  <si>
    <t>(N / 4.448) * m * 3.28084</t>
  </si>
  <si>
    <t xml:space="preserve">N*m * 3.28084 / 4.448  </t>
  </si>
  <si>
    <t>Steam extraction to process pressure,  Pb =</t>
  </si>
  <si>
    <t>Turbine enthalpy from calculator below,  ha =</t>
  </si>
  <si>
    <t>a. Process steam quality at b,  xb =</t>
  </si>
  <si>
    <t>b. Process steam enthalpy at b,  hb =</t>
  </si>
  <si>
    <t>COAL FIRED POWER PLANT BOILER</t>
  </si>
  <si>
    <t>π*(D^2)/4</t>
  </si>
  <si>
    <t>Low pressure,  P1 =</t>
  </si>
  <si>
    <t>Low temperature,  t1 =</t>
  </si>
  <si>
    <t>Specific heat ratio for air,  k = Cp/Cv =</t>
  </si>
  <si>
    <t>See "Summary"</t>
  </si>
  <si>
    <t>1 - (1 / (r^(k - 1)))</t>
  </si>
  <si>
    <t>a. Otto cycle efficiency,  η =</t>
  </si>
  <si>
    <t>1-2 is isentropic,  T2 =</t>
  </si>
  <si>
    <t>T1 =</t>
  </si>
  <si>
    <t>t1 + 273</t>
  </si>
  <si>
    <t>T1*(v1/v2)^(k-1)</t>
  </si>
  <si>
    <t>T1*( r )^(k-1)</t>
  </si>
  <si>
    <t>kg/kg</t>
  </si>
  <si>
    <t>Given cycle net work,  Wout =</t>
  </si>
  <si>
    <t>and Otto cycle net work,  Wout =</t>
  </si>
  <si>
    <t>T3 - T4 =</t>
  </si>
  <si>
    <t xml:space="preserve"> kj/kg deg C</t>
  </si>
  <si>
    <t xml:space="preserve">Air specific heat constant vol,  Cv = </t>
  </si>
  <si>
    <t>Air specific heat constant pressure,  Cp =</t>
  </si>
  <si>
    <t>kj/kg</t>
  </si>
  <si>
    <t>Equation-1</t>
  </si>
  <si>
    <t>3-4 is isentropic,  T3 =</t>
  </si>
  <si>
    <t>T4*(v4/v3)^(k-1)</t>
  </si>
  <si>
    <t>T4*( r )^(k-1)</t>
  </si>
  <si>
    <t>T3 / T4 =</t>
  </si>
  <si>
    <t>( r )^(k-1)</t>
  </si>
  <si>
    <t>Equation-2</t>
  </si>
  <si>
    <t>Solving equations 1 and 2 simultaneously:</t>
  </si>
  <si>
    <t>T3 =</t>
  </si>
  <si>
    <t>T4 =</t>
  </si>
  <si>
    <t>Cv*(T1 - T2) + Cv*(T3 - T4)</t>
  </si>
  <si>
    <t>(Wout - Cv*(T1 - T2)) / Cv</t>
  </si>
  <si>
    <t>1 - (T1 / T3)</t>
  </si>
  <si>
    <t>b.  Carnot cycle efficiency,  ηcarnot =</t>
  </si>
  <si>
    <t xml:space="preserve">The Otto cycle efficiency is less than the ideal Carnot cycle efficiency </t>
  </si>
  <si>
    <t>(MEP)*(v1 - v2)</t>
  </si>
  <si>
    <t>Wout / (v1 - v2)</t>
  </si>
  <si>
    <t>R*T1 / P1</t>
  </si>
  <si>
    <t>and,  R =</t>
  </si>
  <si>
    <t>v1 / r</t>
  </si>
  <si>
    <t>c.  MEP =</t>
  </si>
  <si>
    <t>t1 =</t>
  </si>
  <si>
    <t>Process 1-2 is isentropic</t>
  </si>
  <si>
    <t>T2 =</t>
  </si>
  <si>
    <t>T1*(v1 / v2)^(k-1)</t>
  </si>
  <si>
    <t>v1 = v4=</t>
  </si>
  <si>
    <t>v2 =</t>
  </si>
  <si>
    <t>v1 / 18</t>
  </si>
  <si>
    <t>P2 =</t>
  </si>
  <si>
    <t>T3*(v3 / v4)^(k-1)</t>
  </si>
  <si>
    <t>T2 / v2</t>
  </si>
  <si>
    <t>Cp*(T3 - T2) + Cv*(T1 - T4)</t>
  </si>
  <si>
    <t>P1*(v1 / v2)^k</t>
  </si>
  <si>
    <t>T3 / v3 =</t>
  </si>
  <si>
    <t>T4/T3 =</t>
  </si>
  <si>
    <t>C1 =</t>
  </si>
  <si>
    <t>C2 =</t>
  </si>
  <si>
    <t>C2 - T3 / v3</t>
  </si>
  <si>
    <t>k*T3 - T4 =</t>
  </si>
  <si>
    <t>Process 3-4 is isentropic</t>
  </si>
  <si>
    <t>Process 2-3 is constant pressure</t>
  </si>
  <si>
    <t>Wout + Cp*T2 - Cv*T1 =</t>
  </si>
  <si>
    <t>(Wout + Cp*T2 - Cv*T1)/Cv =</t>
  </si>
  <si>
    <t>Cp*T3 - Cv*T4</t>
  </si>
  <si>
    <t>Wout/Cv + k*T2 - T1 =</t>
  </si>
  <si>
    <t>k*T3 + T4</t>
  </si>
  <si>
    <t>k*T3 + T4 =</t>
  </si>
  <si>
    <t>C3 =</t>
  </si>
  <si>
    <t>Eq-1</t>
  </si>
  <si>
    <t>Eq-2</t>
  </si>
  <si>
    <t>Eq-3</t>
  </si>
  <si>
    <t>http://en.wikipedia.org/wiki/Fuel_efficiency#Fuel_efficiency_of_vehicles</t>
  </si>
  <si>
    <t>http://en.wikipedia.org/wiki/Automobile_drag_coefficient</t>
  </si>
  <si>
    <t>For more go to:</t>
  </si>
  <si>
    <t>r = V1/V2 =</t>
  </si>
  <si>
    <t>Universal gas constant,  R =</t>
  </si>
  <si>
    <t>Air specific heat at constant pressure, Cp =</t>
  </si>
  <si>
    <t>Air specific heat at constant volume, Cv =</t>
  </si>
  <si>
    <t>(v3 / v4)^0.4</t>
  </si>
  <si>
    <t>(1 / v4)^0.4</t>
  </si>
  <si>
    <t>T4/(T3*v3^0.4) =</t>
  </si>
  <si>
    <t>C1 - T4/(T3*v3^0.4)</t>
  </si>
  <si>
    <t>Work output per cycle</t>
  </si>
  <si>
    <t>C3 - 1.4*T3 + T4</t>
  </si>
  <si>
    <t>Air enters turbine compressor at A</t>
  </si>
  <si>
    <t>.</t>
  </si>
  <si>
    <t>Compressor discharge temperature,  TB =</t>
  </si>
  <si>
    <t>Turbine discharge temperature,  TD =</t>
  </si>
  <si>
    <t>GAS TURBINE IDEAL EFFICIENCY</t>
  </si>
  <si>
    <t xml:space="preserve"> Expansion pressure ratio,</t>
  </si>
  <si>
    <t>Brayton turbine thermal efficiency,  ηth =</t>
  </si>
  <si>
    <t>Air Standard Carnot Cycle</t>
  </si>
  <si>
    <t>Eq-4</t>
  </si>
  <si>
    <t>C2*v3</t>
  </si>
  <si>
    <t>C1*T3*v3^0.4</t>
  </si>
  <si>
    <t>T4/C1*v3^0.4</t>
  </si>
  <si>
    <t>Eq-1 - Eq-2</t>
  </si>
  <si>
    <t xml:space="preserve">T4/C1*v3^0.4 - C2*v3 </t>
  </si>
  <si>
    <t>T4</t>
  </si>
  <si>
    <t xml:space="preserve">1.4*T3 - C3 </t>
  </si>
  <si>
    <t xml:space="preserve">1.4*C2*v3 - C3 </t>
  </si>
  <si>
    <t>Guess:  v3 =</t>
  </si>
  <si>
    <t>C2*v3*C1*v3^0.4  =</t>
  </si>
  <si>
    <t>Eq-4 = Eq-5</t>
  </si>
  <si>
    <t xml:space="preserve">Wout / Cv + k*T2 - T1 </t>
  </si>
  <si>
    <t>Cp / Cv*T3 - T4</t>
  </si>
  <si>
    <t>Eq-5 = T3 in Eq-2 in Eq-3</t>
  </si>
  <si>
    <t>From above,  C1 =</t>
  </si>
  <si>
    <t>From above,  C2 =</t>
  </si>
  <si>
    <t>From above,  C3 =</t>
  </si>
  <si>
    <t xml:space="preserve">Combine equations: 1, 2, &amp; 3 above to find: T3, T4, and v3. </t>
  </si>
  <si>
    <t>EXCEL'S GOAL SEEK METHOD</t>
  </si>
  <si>
    <t>1.4*C2*v3 - C3 - C2*C1*v3^1.4</t>
  </si>
  <si>
    <t xml:space="preserve">Guess the value of v3 and use, "Goal Seek" to adjust v3 so that </t>
  </si>
  <si>
    <t>Click on the, "MATH TOOLS" tab below and read the "Goal Seek" method.</t>
  </si>
  <si>
    <t>Eq-6</t>
  </si>
  <si>
    <t xml:space="preserve">2. To the right of the Data tab pick, “What-If Analysis” followed by, “Goal Seek” </t>
  </si>
  <si>
    <t>3. Type in the, "To value" box as shown below.</t>
  </si>
  <si>
    <t>4. Pick the "By changing cell" box and OK.</t>
  </si>
  <si>
    <t>the equation 1.4*C2*v3 - C3 - C2*v3*C1*v3^0.4 will effectively equal zero.</t>
  </si>
  <si>
    <t>CONVERT FROM ISO METRIC UNITS TO US UNITS</t>
  </si>
  <si>
    <t>Drag coefficient,  Cd =</t>
  </si>
  <si>
    <t xml:space="preserve">Air drag horse power, Hp = </t>
  </si>
  <si>
    <t>OR USE STANDARD STEAM TABLES</t>
  </si>
  <si>
    <t>Downstream temperature,  tb =</t>
  </si>
  <si>
    <t>Boiler steam output temperature,  Tc =</t>
  </si>
  <si>
    <t>Fluid/gaseous entropy,  sfg =</t>
  </si>
  <si>
    <t>Fluid/gaseous entropy,  hfg =</t>
  </si>
  <si>
    <t>Upstream pressure,  Pa =</t>
  </si>
  <si>
    <t>Downstream pressure,  Pb =</t>
  </si>
  <si>
    <t>AUTOMOTIVE FUEL ECONOMY</t>
  </si>
  <si>
    <t>because the heat transfer process is not reversible.</t>
  </si>
  <si>
    <t>The Mean Effective Pressure (MEP) is found by the following equation:</t>
  </si>
  <si>
    <t>Indicator card area overall length, X =</t>
  </si>
  <si>
    <t>meters</t>
  </si>
  <si>
    <t>Unknowns: T3 = ?, T4 = ?, v3 = ?</t>
  </si>
  <si>
    <t>1. Pick the yellow cell below containing Equation-6</t>
  </si>
  <si>
    <t>Note entropy sa at a is assumed to be equal to entropy sb at b.</t>
  </si>
  <si>
    <t>Entropy at 4 from table below, s3 = s4 =</t>
  </si>
  <si>
    <t>Thermal efficiency,  η =</t>
  </si>
  <si>
    <t>Enter steam reheat pressure  P5 and temperature t5 in table below.</t>
  </si>
  <si>
    <t>Entropy at 5 from table below, s5 = s6 =</t>
  </si>
  <si>
    <t>(s6 - sf6) / sfg</t>
  </si>
  <si>
    <t xml:space="preserve">Thermal efficiency,  η </t>
  </si>
  <si>
    <t>Compression ratio,  r = V1/V2 =</t>
  </si>
  <si>
    <t>Low pressure,   P1 =</t>
  </si>
  <si>
    <t>Initial cylinder volume,  v1 =</t>
  </si>
  <si>
    <t>Top dead center cylinder volume,  v2 =</t>
  </si>
  <si>
    <t>"Goal Seek" will iterate v3 below until the right hand side of Eq-6 equal to 0.</t>
  </si>
  <si>
    <t>Cut-Off Ratio,  rc =</t>
  </si>
  <si>
    <t>v3 / v2</t>
  </si>
  <si>
    <t>a. Diesel cycle thermal efficiency,  ηt =</t>
  </si>
  <si>
    <t>b. Mean Effective Pressure,  MEP =</t>
  </si>
  <si>
    <t>v1 / v3</t>
  </si>
  <si>
    <t>1 - (1 / (rOtto^(k-1)))</t>
  </si>
  <si>
    <t>c. Otto cycle efficiency,  ηOtto =</t>
  </si>
  <si>
    <t>PLEASE USE THE LIVE CELLS BELOW</t>
  </si>
  <si>
    <t>Equivalent Otto cycle compression ratio,  rOtto =</t>
  </si>
  <si>
    <t>1 - ((1 / (r^(k-1))*((rc^k - 1) / (k*(rc - 1)))))</t>
  </si>
  <si>
    <t>Air enters the compressor at pressure,  PA =</t>
  </si>
  <si>
    <t>Gas turbine absolute max temperature,  TC =</t>
  </si>
  <si>
    <t>Gas turbine maximum temperature,  tC =</t>
  </si>
  <si>
    <t>tC + 273</t>
  </si>
  <si>
    <t>(TB - TA) / (TC - TD)</t>
  </si>
  <si>
    <t>BWr =</t>
  </si>
  <si>
    <t>tA + 273</t>
  </si>
  <si>
    <t>TC*( 1 / r )^((k-1)/k)</t>
  </si>
  <si>
    <t>Air enters the compressor at temperature,  tA =</t>
  </si>
  <si>
    <t xml:space="preserve"> Exhaust to atmos pressure ratio,  r =</t>
  </si>
  <si>
    <t>Air enters the compressor at temp.,  TA =</t>
  </si>
  <si>
    <t>Air enters compressor at temperature,  TA =</t>
  </si>
  <si>
    <t>Air enters compressor at pressure,  PA =</t>
  </si>
  <si>
    <t>Turbine expansion ratio exhaust to atmos (PD/atmos) =</t>
  </si>
  <si>
    <t>Turbine inlet temperature,  TC =</t>
  </si>
  <si>
    <t xml:space="preserve"> Compressor compression ratio,  rB =  (PB/PA)  =</t>
  </si>
  <si>
    <t>MATH TOOLS</t>
  </si>
  <si>
    <t>Enter steam pressure  P3  and temperature  t3  in calculator above or use steam tables.</t>
  </si>
  <si>
    <t>Enter steam reheat pressure  P2  only in table above.</t>
  </si>
  <si>
    <t>Power used to drive pump,  P =</t>
  </si>
  <si>
    <t>END OF SUMMARY WORKSHEET</t>
  </si>
  <si>
    <t>END OF AIR PROPERTIES WORKSHEET</t>
  </si>
  <si>
    <t>STEAM TABLE CALCULATOR (shown below) download from:</t>
  </si>
  <si>
    <t>(Patm + Fp / A) / 1,000,000</t>
  </si>
  <si>
    <t xml:space="preserve">Open the Steam Calculator and enter steam pressure and temperature at boiler output. </t>
  </si>
  <si>
    <t>M363 STEAM &amp; COMBUSTION POWER SPREADSHEETS</t>
  </si>
  <si>
    <t xml:space="preserve">John Andrew LLC </t>
  </si>
  <si>
    <t>Copyright © 12/14/2022</t>
  </si>
  <si>
    <t xml:space="preserve">SUMMARY  </t>
  </si>
  <si>
    <t>END OF SECTION</t>
  </si>
  <si>
    <r>
      <t>m</t>
    </r>
    <r>
      <rPr>
        <b/>
        <vertAlign val="superscript"/>
        <sz val="12"/>
        <rFont val="Arial"/>
        <family val="2"/>
      </rPr>
      <t>2</t>
    </r>
  </si>
  <si>
    <r>
      <t>ft</t>
    </r>
    <r>
      <rPr>
        <b/>
        <vertAlign val="superscript"/>
        <sz val="12"/>
        <rFont val="Arial"/>
        <family val="2"/>
      </rPr>
      <t>2</t>
    </r>
  </si>
  <si>
    <r>
      <t>m</t>
    </r>
    <r>
      <rPr>
        <b/>
        <vertAlign val="superscript"/>
        <sz val="12"/>
        <rFont val="Arial"/>
        <family val="2"/>
      </rPr>
      <t>3</t>
    </r>
  </si>
  <si>
    <r>
      <t>ft</t>
    </r>
    <r>
      <rPr>
        <b/>
        <vertAlign val="superscript"/>
        <sz val="12"/>
        <rFont val="Arial"/>
        <family val="2"/>
      </rPr>
      <t>3</t>
    </r>
  </si>
  <si>
    <r>
      <t>m/s</t>
    </r>
    <r>
      <rPr>
        <b/>
        <vertAlign val="superscript"/>
        <sz val="12"/>
        <rFont val="Arial"/>
        <family val="2"/>
      </rPr>
      <t>2</t>
    </r>
  </si>
  <si>
    <r>
      <t>ft/sec</t>
    </r>
    <r>
      <rPr>
        <b/>
        <vertAlign val="superscript"/>
        <sz val="12"/>
        <rFont val="Arial"/>
        <family val="2"/>
      </rPr>
      <t>2</t>
    </r>
  </si>
  <si>
    <r>
      <t>sec</t>
    </r>
    <r>
      <rPr>
        <b/>
        <vertAlign val="superscript"/>
        <sz val="12"/>
        <rFont val="Arial"/>
        <family val="2"/>
      </rPr>
      <t>-1</t>
    </r>
  </si>
  <si>
    <r>
      <t>kg/m</t>
    </r>
    <r>
      <rPr>
        <b/>
        <vertAlign val="superscript"/>
        <sz val="12"/>
        <rFont val="Arial"/>
        <family val="2"/>
      </rPr>
      <t>3</t>
    </r>
  </si>
  <si>
    <r>
      <t>lbm/ft</t>
    </r>
    <r>
      <rPr>
        <b/>
        <vertAlign val="superscript"/>
        <sz val="12"/>
        <rFont val="Arial"/>
        <family val="2"/>
      </rPr>
      <t>3</t>
    </r>
  </si>
  <si>
    <r>
      <t>N/m</t>
    </r>
    <r>
      <rPr>
        <b/>
        <vertAlign val="superscript"/>
        <sz val="12"/>
        <rFont val="Arial"/>
        <family val="2"/>
      </rPr>
      <t>3</t>
    </r>
  </si>
  <si>
    <r>
      <t>lbf/ft</t>
    </r>
    <r>
      <rPr>
        <b/>
        <vertAlign val="superscript"/>
        <sz val="12"/>
        <rFont val="Arial"/>
        <family val="2"/>
      </rPr>
      <t>3</t>
    </r>
  </si>
  <si>
    <r>
      <t>m</t>
    </r>
    <r>
      <rPr>
        <b/>
        <vertAlign val="superscript"/>
        <sz val="12"/>
        <rFont val="Arial"/>
        <family val="2"/>
      </rPr>
      <t>3</t>
    </r>
    <r>
      <rPr>
        <b/>
        <sz val="12"/>
        <rFont val="Arial"/>
        <family val="2"/>
      </rPr>
      <t>/s</t>
    </r>
  </si>
  <si>
    <r>
      <t>ft</t>
    </r>
    <r>
      <rPr>
        <b/>
        <vertAlign val="superscript"/>
        <sz val="12"/>
        <rFont val="Arial"/>
        <family val="2"/>
      </rPr>
      <t>3</t>
    </r>
    <r>
      <rPr>
        <b/>
        <sz val="12"/>
        <rFont val="Arial"/>
        <family val="2"/>
      </rPr>
      <t>/sec</t>
    </r>
  </si>
  <si>
    <r>
      <t>m</t>
    </r>
    <r>
      <rPr>
        <b/>
        <vertAlign val="superscript"/>
        <sz val="12"/>
        <rFont val="Arial"/>
        <family val="2"/>
      </rPr>
      <t>3</t>
    </r>
    <r>
      <rPr>
        <b/>
        <sz val="12"/>
        <rFont val="Arial"/>
        <family val="2"/>
      </rPr>
      <t>/kg</t>
    </r>
  </si>
  <si>
    <r>
      <t>ft</t>
    </r>
    <r>
      <rPr>
        <b/>
        <vertAlign val="superscript"/>
        <sz val="12"/>
        <rFont val="Arial"/>
        <family val="2"/>
      </rPr>
      <t>3</t>
    </r>
    <r>
      <rPr>
        <b/>
        <sz val="12"/>
        <rFont val="Arial"/>
        <family val="2"/>
      </rPr>
      <t>/lbm</t>
    </r>
  </si>
  <si>
    <r>
      <t>M = Mega = 10</t>
    </r>
    <r>
      <rPr>
        <b/>
        <vertAlign val="superscript"/>
        <sz val="12"/>
        <rFont val="Arial"/>
        <family val="2"/>
      </rPr>
      <t>6</t>
    </r>
  </si>
  <si>
    <r>
      <t>k = kilo = 10</t>
    </r>
    <r>
      <rPr>
        <b/>
        <vertAlign val="superscript"/>
        <sz val="12"/>
        <rFont val="Arial"/>
        <family val="2"/>
      </rPr>
      <t>3</t>
    </r>
  </si>
  <si>
    <t>Air density,  ρ =</t>
  </si>
  <si>
    <t>(1/2)*ρ*V^2*A*Cd</t>
  </si>
  <si>
    <t>(1/2)*(ρ/32.2)*V^2*A*Cd</t>
  </si>
  <si>
    <t>S*2*π / 60</t>
  </si>
  <si>
    <t>2*π*S*T / 33000</t>
  </si>
  <si>
    <t xml:space="preserve">Temperature is measured in: ISO degrees Centigrade, </t>
  </si>
  <si>
    <t>Kelvin and US degrees Fahrenheit, Rankin.</t>
  </si>
  <si>
    <t xml:space="preserve">Unlock a worksheet with "Unprotect" </t>
  </si>
  <si>
    <t>Step-1</t>
  </si>
  <si>
    <t xml:space="preserve">HOME </t>
  </si>
  <si>
    <t>Step-2</t>
  </si>
  <si>
    <t xml:space="preserve">Format </t>
  </si>
  <si>
    <t>Step-3</t>
  </si>
  <si>
    <t>Unprotect Sheet</t>
  </si>
  <si>
    <t>Step-4</t>
  </si>
  <si>
    <t xml:space="preserve">Lock a worksheet with "Protect Sheet" </t>
  </si>
  <si>
    <t>Protect Sheet Box Opens</t>
  </si>
  <si>
    <t>Step-5</t>
  </si>
  <si>
    <t>NEW EXCEL</t>
  </si>
  <si>
    <t>OLD EXCEL</t>
  </si>
  <si>
    <t>Step-6</t>
  </si>
  <si>
    <t>Step-7</t>
  </si>
  <si>
    <t>Protect Sheet</t>
  </si>
  <si>
    <t>Check the "Protect Sheet" two boxes right &gt;&gt;</t>
  </si>
  <si>
    <t>Select Unlocked Cells</t>
  </si>
  <si>
    <t>Format Cells</t>
  </si>
  <si>
    <t>Step</t>
  </si>
  <si>
    <t>Enter</t>
  </si>
  <si>
    <t>Follow Steps&gt;&gt;</t>
  </si>
  <si>
    <t xml:space="preserve">GOAL SEEK </t>
  </si>
  <si>
    <t>H =</t>
  </si>
  <si>
    <t>lbs</t>
  </si>
  <si>
    <t>Format</t>
  </si>
  <si>
    <t>V =</t>
  </si>
  <si>
    <t>llbs</t>
  </si>
  <si>
    <t>Horizontal force, H =</t>
  </si>
  <si>
    <t>TAN(A) =</t>
  </si>
  <si>
    <t>V/H</t>
  </si>
  <si>
    <t>Number</t>
  </si>
  <si>
    <t>Vertical force, V =</t>
  </si>
  <si>
    <t>number</t>
  </si>
  <si>
    <t>Decimal Places</t>
  </si>
  <si>
    <t>Angle  A =</t>
  </si>
  <si>
    <t>ATAN(V/H)</t>
  </si>
  <si>
    <t>Resultant force, R =</t>
  </si>
  <si>
    <t>( H^2 + V^2 )^(1/2)</t>
  </si>
  <si>
    <t>radians</t>
  </si>
  <si>
    <t>A radians =</t>
  </si>
  <si>
    <t xml:space="preserve">57.3*A </t>
  </si>
  <si>
    <t>degrees</t>
  </si>
  <si>
    <t>Angle, A =</t>
  </si>
  <si>
    <t>57.30 * ATAN(V / H)</t>
  </si>
  <si>
    <t>57.3*A</t>
  </si>
  <si>
    <t>deg</t>
  </si>
  <si>
    <t>GOAL SEEK method</t>
  </si>
  <si>
    <t>Step-1  Select the green cell C38 containing a formula.</t>
  </si>
  <si>
    <t>Step-2  Select: DATA  &gt; What-If Analysis &gt; Goal Seek</t>
  </si>
  <si>
    <t>Step-3  To value: 14, for example</t>
  </si>
  <si>
    <t>Step-4  Pick cell containing value to be changed by Excel: C34 or C35 &gt; OK</t>
  </si>
  <si>
    <t>Select &gt; OK and "Goal Seek Status'&gt;&gt; will open &gt; OK</t>
  </si>
  <si>
    <t>END OF SSECTION</t>
  </si>
  <si>
    <t xml:space="preserve">ENTROPY  </t>
  </si>
  <si>
    <r>
      <t>Ideal Carnot cycle efficiency,  η</t>
    </r>
    <r>
      <rPr>
        <b/>
        <vertAlign val="subscript"/>
        <sz val="12"/>
        <rFont val="Arial"/>
        <family val="2"/>
      </rPr>
      <t>th</t>
    </r>
    <r>
      <rPr>
        <b/>
        <sz val="12"/>
        <rFont val="Arial"/>
        <family val="2"/>
      </rPr>
      <t xml:space="preserve"> = </t>
    </r>
  </si>
  <si>
    <r>
      <t>(TH - T</t>
    </r>
    <r>
      <rPr>
        <b/>
        <vertAlign val="subscript"/>
        <sz val="12"/>
        <rFont val="Arial"/>
        <family val="2"/>
      </rPr>
      <t>L)</t>
    </r>
    <r>
      <rPr>
        <b/>
        <sz val="12"/>
        <rFont val="Arial"/>
        <family val="2"/>
      </rPr>
      <t xml:space="preserve"> / T</t>
    </r>
    <r>
      <rPr>
        <b/>
        <vertAlign val="subscript"/>
        <sz val="12"/>
        <rFont val="Arial"/>
        <family val="2"/>
      </rPr>
      <t>H</t>
    </r>
  </si>
  <si>
    <t>Engine operating time,  Δt =</t>
  </si>
  <si>
    <t xml:space="preserve">Engine efficiency,  η = </t>
  </si>
  <si>
    <r>
      <t>1 - (T</t>
    </r>
    <r>
      <rPr>
        <b/>
        <vertAlign val="subscript"/>
        <sz val="12"/>
        <rFont val="Arial"/>
        <family val="2"/>
      </rPr>
      <t>low)</t>
    </r>
    <r>
      <rPr>
        <b/>
        <sz val="12"/>
        <rFont val="Arial"/>
        <family val="2"/>
      </rPr>
      <t xml:space="preserve"> / T</t>
    </r>
    <r>
      <rPr>
        <b/>
        <vertAlign val="subscript"/>
        <sz val="12"/>
        <rFont val="Arial"/>
        <family val="2"/>
      </rPr>
      <t>high</t>
    </r>
  </si>
  <si>
    <r>
      <t>Net entropy change,  s</t>
    </r>
    <r>
      <rPr>
        <b/>
        <vertAlign val="subscript"/>
        <sz val="12"/>
        <rFont val="Arial"/>
        <family val="2"/>
      </rPr>
      <t>NET</t>
    </r>
    <r>
      <rPr>
        <b/>
        <sz val="12"/>
        <rFont val="Arial"/>
        <family val="2"/>
      </rPr>
      <t xml:space="preserve"> =</t>
    </r>
  </si>
  <si>
    <t>Entropy change,  Δs =</t>
  </si>
  <si>
    <t>Water density,  ρ =</t>
  </si>
  <si>
    <t>https://www.tlv.com/global/US/calculator/steam-table-pressure.html</t>
  </si>
  <si>
    <t>kg/cm^2</t>
  </si>
  <si>
    <t>Step-1  Open the TVL "Saturated Steam Table Caculator.</t>
  </si>
  <si>
    <t>Step-2   Units SI</t>
  </si>
  <si>
    <t>Step-3   Steam Pressure  0.12 MPaGage</t>
  </si>
  <si>
    <t>Step-4   Calculate</t>
  </si>
  <si>
    <t>See Result below.</t>
  </si>
  <si>
    <t>MPaGage</t>
  </si>
  <si>
    <t>TABLE BELOW IS AT P1 = 100 psig</t>
  </si>
  <si>
    <t>TABLE BELOW IS AT  P2 = 10 psig</t>
  </si>
  <si>
    <t>||||</t>
  </si>
  <si>
    <t>||</t>
  </si>
  <si>
    <t>|</t>
  </si>
  <si>
    <t>[[//</t>
  </si>
  <si>
    <t>https://www.tlv.com/global/US/calculator</t>
  </si>
  <si>
    <t>Saturated Steam enthalpy upstream,  ha =</t>
  </si>
  <si>
    <t xml:space="preserve">Enthalpy upstream from calculator above: </t>
  </si>
  <si>
    <t>Calculator: Saturated Steam Table by Pressure | TLV - A Steam Specialist Company (Worldwide)</t>
  </si>
  <si>
    <t xml:space="preserve">STEAM TURBINES   </t>
  </si>
  <si>
    <t>https://www.engineeringtoolbox.com/saturated-steam-properties-d_273.html</t>
  </si>
  <si>
    <t>P3</t>
  </si>
  <si>
    <t>t3</t>
  </si>
  <si>
    <t>P5</t>
  </si>
  <si>
    <t>t5</t>
  </si>
  <si>
    <t>h5</t>
  </si>
  <si>
    <t>s6</t>
  </si>
  <si>
    <t>bar</t>
  </si>
  <si>
    <t>kj/kg-deg R</t>
  </si>
  <si>
    <r>
      <t>1 - T</t>
    </r>
    <r>
      <rPr>
        <b/>
        <vertAlign val="subscript"/>
        <sz val="12"/>
        <rFont val="Arial"/>
        <family val="2"/>
      </rPr>
      <t>LOW</t>
    </r>
    <r>
      <rPr>
        <b/>
        <sz val="12"/>
        <rFont val="Arial"/>
        <family val="2"/>
      </rPr>
      <t xml:space="preserve"> / T</t>
    </r>
    <r>
      <rPr>
        <b/>
        <vertAlign val="subscript"/>
        <sz val="12"/>
        <rFont val="Arial"/>
        <family val="2"/>
      </rPr>
      <t>HIGH</t>
    </r>
  </si>
  <si>
    <r>
      <t>in</t>
    </r>
    <r>
      <rPr>
        <vertAlign val="superscript"/>
        <sz val="12"/>
        <rFont val="Arial"/>
        <family val="2"/>
      </rPr>
      <t>2</t>
    </r>
  </si>
  <si>
    <r>
      <t>lbf/in</t>
    </r>
    <r>
      <rPr>
        <b/>
        <vertAlign val="superscript"/>
        <sz val="12"/>
        <rFont val="Arial"/>
        <family val="2"/>
      </rPr>
      <t>2</t>
    </r>
  </si>
  <si>
    <r>
      <t>in</t>
    </r>
    <r>
      <rPr>
        <b/>
        <vertAlign val="superscript"/>
        <sz val="12"/>
        <rFont val="Arial"/>
        <family val="2"/>
      </rPr>
      <t>2</t>
    </r>
  </si>
  <si>
    <r>
      <t>Mechanical Efficiency,  η</t>
    </r>
    <r>
      <rPr>
        <b/>
        <vertAlign val="subscript"/>
        <sz val="12"/>
        <rFont val="Arial"/>
        <family val="2"/>
      </rPr>
      <t>m</t>
    </r>
    <r>
      <rPr>
        <b/>
        <sz val="12"/>
        <rFont val="Arial"/>
        <family val="2"/>
      </rPr>
      <t xml:space="preserve"> =</t>
    </r>
  </si>
  <si>
    <r>
      <t>cm</t>
    </r>
    <r>
      <rPr>
        <vertAlign val="superscript"/>
        <sz val="12"/>
        <rFont val="Arial"/>
        <family val="2"/>
      </rPr>
      <t>2</t>
    </r>
  </si>
  <si>
    <r>
      <t>cm</t>
    </r>
    <r>
      <rPr>
        <b/>
        <vertAlign val="superscript"/>
        <sz val="12"/>
        <rFont val="Arial"/>
        <family val="2"/>
      </rPr>
      <t>2</t>
    </r>
  </si>
  <si>
    <r>
      <t>Q</t>
    </r>
    <r>
      <rPr>
        <b/>
        <vertAlign val="subscript"/>
        <sz val="12"/>
        <rFont val="Arial"/>
        <family val="2"/>
      </rPr>
      <t>3-4</t>
    </r>
    <r>
      <rPr>
        <b/>
        <sz val="12"/>
        <rFont val="Arial"/>
        <family val="2"/>
      </rPr>
      <t xml:space="preserve"> + Q</t>
    </r>
    <r>
      <rPr>
        <b/>
        <vertAlign val="subscript"/>
        <sz val="12"/>
        <rFont val="Arial"/>
        <family val="2"/>
      </rPr>
      <t>4-1</t>
    </r>
  </si>
  <si>
    <t>CONTENTS</t>
  </si>
  <si>
    <t>Link</t>
  </si>
  <si>
    <t>SUMMARY</t>
  </si>
  <si>
    <t>ENTROPY</t>
  </si>
  <si>
    <t>STEAM TURBINES</t>
  </si>
  <si>
    <t>AIR PROPERTIES</t>
  </si>
  <si>
    <t>Example Goal Seek</t>
  </si>
  <si>
    <t>END ODF SECTION</t>
  </si>
  <si>
    <t>EXAMPLE ONLY - EXCEL'S GOAL SEEK METHOD</t>
  </si>
  <si>
    <t>EXAMPLE ONLY - CELLS BELOW ARE LOCKED</t>
  </si>
  <si>
    <t>Expansion process efficiency of the turbine,  η =</t>
  </si>
  <si>
    <t>EXAMPLE ONLY - GAS TURBINE (CELLS ARE LOCKED BELOW)</t>
  </si>
  <si>
    <r>
      <t xml:space="preserve">of dry air at temperatures ranging </t>
    </r>
    <r>
      <rPr>
        <i/>
        <sz val="12"/>
        <rFont val="Arial"/>
        <family val="2"/>
      </rPr>
      <t>175 - 1900 K</t>
    </r>
    <r>
      <rPr>
        <sz val="12"/>
        <rFont val="Arial"/>
        <family val="2"/>
      </rPr>
      <t xml:space="preserve"> are indicated in the table below.</t>
    </r>
  </si>
  <si>
    <r>
      <t>(</t>
    </r>
    <r>
      <rPr>
        <i/>
        <sz val="12"/>
        <rFont val="Arial"/>
        <family val="2"/>
      </rPr>
      <t>K</t>
    </r>
    <r>
      <rPr>
        <sz val="12"/>
        <rFont val="Arial"/>
        <family val="2"/>
      </rPr>
      <t>)</t>
    </r>
  </si>
  <si>
    <r>
      <t xml:space="preserve">- </t>
    </r>
    <r>
      <rPr>
        <i/>
        <sz val="12"/>
        <rFont val="Arial"/>
        <family val="2"/>
      </rPr>
      <t>k</t>
    </r>
    <r>
      <rPr>
        <sz val="12"/>
        <rFont val="Arial"/>
        <family val="2"/>
      </rPr>
      <t xml:space="preserve"> -</t>
    </r>
  </si>
  <si>
    <r>
      <t xml:space="preserve">- </t>
    </r>
    <r>
      <rPr>
        <i/>
        <sz val="12"/>
        <rFont val="Arial"/>
        <family val="2"/>
      </rPr>
      <t>μ</t>
    </r>
    <r>
      <rPr>
        <sz val="12"/>
        <rFont val="Arial"/>
        <family val="2"/>
      </rPr>
      <t xml:space="preserve"> -</t>
    </r>
  </si>
  <si>
    <r>
      <t>10</t>
    </r>
    <r>
      <rPr>
        <i/>
        <vertAlign val="superscript"/>
        <sz val="12"/>
        <rFont val="Arial"/>
        <family val="2"/>
      </rPr>
      <t>-5</t>
    </r>
  </si>
  <si>
    <r>
      <t xml:space="preserve">- </t>
    </r>
    <r>
      <rPr>
        <i/>
        <sz val="12"/>
        <rFont val="Arial"/>
        <family val="2"/>
      </rPr>
      <t>ν</t>
    </r>
    <r>
      <rPr>
        <sz val="12"/>
        <rFont val="Arial"/>
        <family val="2"/>
      </rPr>
      <t xml:space="preserve"> -</t>
    </r>
  </si>
  <si>
    <r>
      <t xml:space="preserve">- </t>
    </r>
    <r>
      <rPr>
        <i/>
        <sz val="12"/>
        <rFont val="Arial"/>
        <family val="2"/>
      </rPr>
      <t>ρ</t>
    </r>
    <r>
      <rPr>
        <sz val="12"/>
        <rFont val="Arial"/>
        <family val="2"/>
      </rPr>
      <t xml:space="preserve"> -</t>
    </r>
  </si>
  <si>
    <r>
      <t>(</t>
    </r>
    <r>
      <rPr>
        <i/>
        <sz val="12"/>
        <rFont val="Arial"/>
        <family val="2"/>
      </rPr>
      <t>c</t>
    </r>
    <r>
      <rPr>
        <i/>
        <vertAlign val="subscript"/>
        <sz val="12"/>
        <rFont val="Arial"/>
        <family val="2"/>
      </rPr>
      <t>p</t>
    </r>
    <r>
      <rPr>
        <i/>
        <sz val="12"/>
        <rFont val="Arial"/>
        <family val="2"/>
      </rPr>
      <t>/c</t>
    </r>
    <r>
      <rPr>
        <i/>
        <vertAlign val="subscript"/>
        <sz val="12"/>
        <rFont val="Arial"/>
        <family val="2"/>
      </rPr>
      <t>v</t>
    </r>
    <r>
      <rPr>
        <i/>
        <sz val="12"/>
        <rFont val="Arial"/>
        <family val="2"/>
      </rPr>
      <t>)</t>
    </r>
  </si>
  <si>
    <r>
      <t>(kg/m</t>
    </r>
    <r>
      <rPr>
        <i/>
        <vertAlign val="superscript"/>
        <sz val="12"/>
        <rFont val="Arial"/>
        <family val="2"/>
      </rPr>
      <t>3</t>
    </r>
    <r>
      <rPr>
        <i/>
        <sz val="12"/>
        <rFont val="Arial"/>
        <family val="2"/>
      </rPr>
      <t>)</t>
    </r>
  </si>
  <si>
    <r>
      <t xml:space="preserve">- </t>
    </r>
    <r>
      <rPr>
        <i/>
        <sz val="12"/>
        <rFont val="Arial"/>
        <family val="2"/>
      </rPr>
      <t>c</t>
    </r>
    <r>
      <rPr>
        <i/>
        <vertAlign val="subscript"/>
        <sz val="12"/>
        <rFont val="Arial"/>
        <family val="2"/>
      </rPr>
      <t>p</t>
    </r>
    <r>
      <rPr>
        <sz val="12"/>
        <rFont val="Arial"/>
        <family val="2"/>
      </rPr>
      <t xml:space="preserve"> -</t>
    </r>
  </si>
  <si>
    <r>
      <t xml:space="preserve">- </t>
    </r>
    <r>
      <rPr>
        <i/>
        <sz val="12"/>
        <rFont val="Arial"/>
        <family val="2"/>
      </rPr>
      <t>c</t>
    </r>
    <r>
      <rPr>
        <i/>
        <vertAlign val="subscript"/>
        <sz val="12"/>
        <rFont val="Arial"/>
        <family val="2"/>
      </rPr>
      <t>v</t>
    </r>
    <r>
      <rPr>
        <sz val="12"/>
        <rFont val="Arial"/>
        <family val="2"/>
      </rPr>
      <t xml:space="preserve"> -</t>
    </r>
  </si>
  <si>
    <r>
      <t>(m</t>
    </r>
    <r>
      <rPr>
        <i/>
        <vertAlign val="superscript"/>
        <sz val="12"/>
        <rFont val="Arial"/>
        <family val="2"/>
      </rPr>
      <t>2</t>
    </r>
    <r>
      <rPr>
        <i/>
        <sz val="12"/>
        <rFont val="Arial"/>
        <family val="2"/>
      </rPr>
      <t>/s)</t>
    </r>
  </si>
  <si>
    <r>
      <t>1)</t>
    </r>
    <r>
      <rPr>
        <sz val="12"/>
        <rFont val="Arial"/>
        <family val="2"/>
      </rPr>
      <t xml:space="preserve"> At pressure </t>
    </r>
    <r>
      <rPr>
        <i/>
        <sz val="12"/>
        <rFont val="Arial"/>
        <family val="2"/>
      </rPr>
      <t>1 atm</t>
    </r>
  </si>
  <si>
    <t>Energy equation for a pump,  -dW/dt =</t>
  </si>
  <si>
    <t>Put Your Goal Seek Below</t>
  </si>
  <si>
    <t>Carnot low and high vapor temperatures</t>
  </si>
  <si>
    <t>Enthalpy of upstream mixture,  hfg =</t>
  </si>
  <si>
    <t>Use TLV Calculator on the web.</t>
  </si>
  <si>
    <r>
      <t>h = u + Pv</t>
    </r>
    <r>
      <rPr>
        <sz val="12"/>
        <color rgb="FF000000"/>
        <rFont val="Arial"/>
        <family val="2"/>
      </rPr>
      <t> (v = specific volume)</t>
    </r>
  </si>
  <si>
    <t>kg/sec</t>
  </si>
  <si>
    <t xml:space="preserve">Inlet steam temperature      Ta = </t>
  </si>
  <si>
    <t xml:space="preserve"> Exit steam temperature     Tb = </t>
  </si>
  <si>
    <t xml:space="preserve">Inlet steam pressure     Pa = </t>
  </si>
  <si>
    <t xml:space="preserve"> Exit steam pressure     Pb = </t>
  </si>
  <si>
    <t>ha =</t>
  </si>
  <si>
    <t>hb =</t>
  </si>
  <si>
    <t>https://www.steamtablesonline.com/steam97web.aspx</t>
  </si>
  <si>
    <t>1 bar = 100 kPa</t>
  </si>
  <si>
    <t>Pa =</t>
  </si>
  <si>
    <t>Pb -</t>
  </si>
  <si>
    <t>.kJ/kg</t>
  </si>
  <si>
    <t>Steam Turbine Power Output - Problem</t>
  </si>
  <si>
    <t>Steam Turbine Power Output - Data</t>
  </si>
  <si>
    <t>What is the rate of energy transfer though turbine work?</t>
  </si>
  <si>
    <t>W/sec =</t>
  </si>
  <si>
    <t>Steam flow M/sec =</t>
  </si>
  <si>
    <t>(M/sec * (ha - hb)?1000</t>
  </si>
  <si>
    <t>Steam Tables Online</t>
  </si>
  <si>
    <t xml:space="preserve">Open the Steam Calculator below and enter steam pressure and temperature point (a) only. </t>
  </si>
  <si>
    <t>Input from tables below.</t>
  </si>
  <si>
    <t>1 Mpa = 10 bar</t>
  </si>
  <si>
    <t>GOAL SEEK</t>
  </si>
  <si>
    <t>= X + Y</t>
  </si>
  <si>
    <t>X =</t>
  </si>
  <si>
    <t>Y =</t>
  </si>
  <si>
    <t>Z =</t>
  </si>
  <si>
    <t>&lt; Before and After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</si>
</sst>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0"/>
    <numFmt numFmtId="165" formatCode="0.00000"/>
    <numFmt numFmtId="166" formatCode="0.0000"/>
    <numFmt numFmtId="167" formatCode="0.000"/>
    <numFmt numFmtId="168" formatCode="0.0%"/>
    <numFmt numFmtId="169" formatCode="0.0"/>
    <numFmt numFmtId="170" formatCode="#,##0.000"/>
  </numFmts>
  <fonts count="32" x14ac:knownFonts="1">
    <font>
      <sz val="10"/>
      <name val="Arial"/>
      <family val="2"/>
    </font>
    <font>
      <b/>
      <sz val="10"/>
      <name val="Arial"/>
      <family val="2"/>
    </font>
    <font>
      <b/>
      <sz val="12"/>
      <color indexed="12"/>
      <name val="Arial"/>
      <family val="2"/>
    </font>
    <font>
      <b/>
      <sz val="12"/>
      <name val="Arial"/>
      <family val="2"/>
    </font>
    <font>
      <sz val="8"/>
      <name val="Arial"/>
      <family val="2"/>
    </font>
    <font>
      <b/>
      <sz val="14"/>
      <name val="Arial"/>
      <family val="2"/>
    </font>
    <font>
      <sz val="10"/>
      <name val="Arial"/>
      <family val="2"/>
    </font>
    <font>
      <u/>
      <sz val="10"/>
      <color indexed="12"/>
      <name val="Arial"/>
      <family val="2"/>
    </font>
    <font>
      <b/>
      <sz val="12"/>
      <color indexed="10"/>
      <name val="Arial"/>
      <family val="2"/>
    </font>
    <font>
      <b/>
      <sz val="12"/>
      <color indexed="8"/>
      <name val="Arial"/>
      <family val="2"/>
    </font>
    <font>
      <sz val="12"/>
      <color indexed="8"/>
      <name val="Arial"/>
      <family val="2"/>
    </font>
    <font>
      <sz val="14"/>
      <name val="Arial"/>
      <family val="2"/>
    </font>
    <font>
      <sz val="12"/>
      <name val="Arial"/>
      <family val="2"/>
    </font>
    <font>
      <u/>
      <sz val="12"/>
      <color indexed="12"/>
      <name val="Arial"/>
      <family val="2"/>
    </font>
    <font>
      <b/>
      <sz val="16"/>
      <name val="Arial"/>
      <family val="2"/>
    </font>
    <font>
      <b/>
      <vertAlign val="superscript"/>
      <sz val="12"/>
      <name val="Arial"/>
      <family val="2"/>
    </font>
    <font>
      <i/>
      <sz val="12"/>
      <color indexed="63"/>
      <name val="Courier"/>
      <family val="3"/>
    </font>
    <font>
      <sz val="12"/>
      <color indexed="10"/>
      <name val="Arial"/>
      <family val="2"/>
    </font>
    <font>
      <b/>
      <vertAlign val="subscript"/>
      <sz val="12"/>
      <name val="Arial"/>
      <family val="2"/>
    </font>
    <font>
      <b/>
      <sz val="12"/>
      <color theme="1"/>
      <name val="Arial"/>
      <family val="2"/>
    </font>
    <font>
      <sz val="12"/>
      <color theme="1"/>
      <name val="Arial"/>
      <family val="2"/>
    </font>
    <font>
      <sz val="12"/>
      <color rgb="FFFF0000"/>
      <name val="Arial"/>
      <family val="2"/>
    </font>
    <font>
      <u/>
      <sz val="14"/>
      <color indexed="12"/>
      <name val="Arial"/>
      <family val="2"/>
    </font>
    <font>
      <sz val="16"/>
      <name val="Arial"/>
      <family val="2"/>
    </font>
    <font>
      <u/>
      <sz val="16"/>
      <color indexed="12"/>
      <name val="Arial"/>
      <family val="2"/>
    </font>
    <font>
      <vertAlign val="superscript"/>
      <sz val="12"/>
      <name val="Arial"/>
      <family val="2"/>
    </font>
    <font>
      <u/>
      <sz val="12"/>
      <name val="Arial"/>
      <family val="2"/>
    </font>
    <font>
      <i/>
      <sz val="12"/>
      <name val="Arial"/>
      <family val="2"/>
    </font>
    <font>
      <i/>
      <vertAlign val="superscript"/>
      <sz val="12"/>
      <name val="Arial"/>
      <family val="2"/>
    </font>
    <font>
      <i/>
      <vertAlign val="subscript"/>
      <sz val="12"/>
      <name val="Arial"/>
      <family val="2"/>
    </font>
    <font>
      <b/>
      <sz val="12"/>
      <color rgb="FF000000"/>
      <name val="Arial"/>
      <family val="2"/>
    </font>
    <font>
      <sz val="12"/>
      <color rgb="FF000000"/>
      <name val="Arial"/>
      <family val="2"/>
    </font>
  </fonts>
  <fills count="10">
    <fill>
      <patternFill patternType="none"/>
    </fill>
    <fill>
      <patternFill patternType="gray125"/>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26"/>
        <bgColor indexed="64"/>
      </patternFill>
    </fill>
    <fill>
      <patternFill patternType="solid">
        <fgColor indexed="40"/>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s>
  <borders count="39">
    <border>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22"/>
      </left>
      <right style="medium">
        <color indexed="22"/>
      </right>
      <top style="medium">
        <color indexed="22"/>
      </top>
      <bottom style="medium">
        <color indexed="22"/>
      </bottom>
      <diagonal/>
    </border>
    <border>
      <left style="medium">
        <color indexed="22"/>
      </left>
      <right style="medium">
        <color indexed="22"/>
      </right>
      <top style="medium">
        <color indexed="22"/>
      </top>
      <bottom style="medium">
        <color indexed="22"/>
      </bottom>
      <diagonal/>
    </border>
    <border>
      <left style="medium">
        <color indexed="22"/>
      </left>
      <right style="thick">
        <color indexed="22"/>
      </right>
      <top style="medium">
        <color indexed="22"/>
      </top>
      <bottom style="medium">
        <color indexed="22"/>
      </bottom>
      <diagonal/>
    </border>
    <border>
      <left style="thick">
        <color indexed="22"/>
      </left>
      <right style="medium">
        <color indexed="22"/>
      </right>
      <top style="medium">
        <color indexed="22"/>
      </top>
      <bottom style="thick">
        <color indexed="22"/>
      </bottom>
      <diagonal/>
    </border>
    <border>
      <left style="medium">
        <color indexed="22"/>
      </left>
      <right style="medium">
        <color indexed="22"/>
      </right>
      <top style="medium">
        <color indexed="22"/>
      </top>
      <bottom style="thick">
        <color indexed="22"/>
      </bottom>
      <diagonal/>
    </border>
    <border>
      <left style="medium">
        <color indexed="22"/>
      </left>
      <right style="thick">
        <color indexed="22"/>
      </right>
      <top style="medium">
        <color indexed="22"/>
      </top>
      <bottom style="thick">
        <color indexed="2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23"/>
      </left>
      <right/>
      <top/>
      <bottom/>
      <diagonal/>
    </border>
    <border>
      <left style="thick">
        <color indexed="22"/>
      </left>
      <right style="medium">
        <color indexed="22"/>
      </right>
      <top style="thick">
        <color indexed="22"/>
      </top>
      <bottom/>
      <diagonal/>
    </border>
    <border>
      <left style="medium">
        <color indexed="22"/>
      </left>
      <right/>
      <top style="thick">
        <color indexed="22"/>
      </top>
      <bottom/>
      <diagonal/>
    </border>
    <border>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diagonal/>
    </border>
    <border>
      <left style="medium">
        <color indexed="22"/>
      </left>
      <right/>
      <top/>
      <bottom/>
      <diagonal/>
    </border>
    <border>
      <left/>
      <right style="medium">
        <color indexed="22"/>
      </right>
      <top/>
      <bottom/>
      <diagonal/>
    </border>
    <border>
      <left style="medium">
        <color indexed="22"/>
      </left>
      <right style="medium">
        <color indexed="22"/>
      </right>
      <top/>
      <bottom/>
      <diagonal/>
    </border>
    <border>
      <left style="medium">
        <color indexed="22"/>
      </left>
      <right style="thick">
        <color indexed="22"/>
      </right>
      <top/>
      <bottom/>
      <diagonal/>
    </border>
    <border>
      <left style="medium">
        <color indexed="22"/>
      </left>
      <right/>
      <top/>
      <bottom style="medium">
        <color indexed="22"/>
      </bottom>
      <diagonal/>
    </border>
    <border>
      <left/>
      <right style="medium">
        <color indexed="22"/>
      </right>
      <top/>
      <bottom style="medium">
        <color indexed="22"/>
      </bottom>
      <diagonal/>
    </border>
    <border>
      <left style="medium">
        <color indexed="22"/>
      </left>
      <right style="medium">
        <color indexed="22"/>
      </right>
      <top style="medium">
        <color indexed="22"/>
      </top>
      <bottom/>
      <diagonal/>
    </border>
    <border>
      <left style="thick">
        <color indexed="22"/>
      </left>
      <right style="medium">
        <color indexed="22"/>
      </right>
      <top/>
      <bottom style="medium">
        <color indexed="22"/>
      </bottom>
      <diagonal/>
    </border>
    <border>
      <left style="medium">
        <color indexed="22"/>
      </left>
      <right style="medium">
        <color indexed="22"/>
      </right>
      <top/>
      <bottom style="medium">
        <color indexed="22"/>
      </bottom>
      <diagonal/>
    </border>
    <border>
      <left style="medium">
        <color indexed="22"/>
      </left>
      <right style="thick">
        <color indexed="22"/>
      </right>
      <top/>
      <bottom style="medium">
        <color indexed="22"/>
      </bottom>
      <diagonal/>
    </border>
  </borders>
  <cellStyleXfs count="4">
    <xf numFmtId="0" fontId="0" fillId="0" borderId="0"/>
    <xf numFmtId="0" fontId="7" fillId="0" borderId="0" applyNumberFormat="0" applyFill="0" applyBorder="0" applyAlignment="0" applyProtection="0">
      <alignment vertical="top"/>
      <protection locked="0"/>
    </xf>
    <xf numFmtId="0" fontId="6" fillId="0" borderId="0"/>
    <xf numFmtId="9" fontId="1" fillId="0" borderId="0" applyFill="0" applyBorder="0" applyAlignment="0" applyProtection="0"/>
  </cellStyleXfs>
  <cellXfs count="425">
    <xf numFmtId="0" fontId="0" fillId="0" borderId="0" xfId="0"/>
    <xf numFmtId="0" fontId="2" fillId="0" borderId="0" xfId="0" applyFont="1" applyAlignment="1">
      <alignment horizontal="left"/>
    </xf>
    <xf numFmtId="0" fontId="3" fillId="0" borderId="0" xfId="0" applyFont="1"/>
    <xf numFmtId="0" fontId="5" fillId="0" borderId="0" xfId="0" applyFont="1"/>
    <xf numFmtId="0" fontId="3" fillId="0" borderId="0" xfId="0" applyFont="1" applyAlignment="1">
      <alignment horizontal="left"/>
    </xf>
    <xf numFmtId="0" fontId="0" fillId="0" borderId="0" xfId="0" applyProtection="1">
      <protection locked="0"/>
    </xf>
    <xf numFmtId="0" fontId="3" fillId="0" borderId="9" xfId="0"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0" fontId="8" fillId="0" borderId="13" xfId="0" applyFont="1" applyBorder="1" applyAlignment="1">
      <alignment horizontal="center"/>
    </xf>
    <xf numFmtId="0" fontId="3" fillId="0" borderId="0" xfId="2" applyFont="1" applyAlignment="1">
      <alignment horizontal="left"/>
    </xf>
    <xf numFmtId="0" fontId="3" fillId="0" borderId="0" xfId="0" applyFont="1" applyAlignment="1" applyProtection="1">
      <alignment horizontal="left"/>
    </xf>
    <xf numFmtId="0" fontId="3" fillId="0" borderId="0" xfId="0" applyFont="1" applyFill="1" applyBorder="1" applyAlignment="1">
      <alignment horizontal="left"/>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xf>
    <xf numFmtId="0" fontId="3" fillId="0" borderId="0" xfId="0" applyFont="1" applyProtection="1"/>
    <xf numFmtId="0" fontId="19" fillId="0" borderId="0" xfId="0" applyFont="1"/>
    <xf numFmtId="0" fontId="11" fillId="0" borderId="0" xfId="0" applyFont="1" applyAlignment="1">
      <alignment horizontal="left"/>
    </xf>
    <xf numFmtId="0" fontId="5" fillId="0" borderId="0" xfId="0" applyFont="1" applyAlignment="1" applyProtection="1">
      <alignment horizontal="left"/>
      <protection locked="0"/>
    </xf>
    <xf numFmtId="0" fontId="12" fillId="0" borderId="0" xfId="0" applyFont="1"/>
    <xf numFmtId="0" fontId="12" fillId="0" borderId="0" xfId="0" applyFon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left"/>
      <protection locked="0"/>
    </xf>
    <xf numFmtId="0" fontId="3" fillId="0" borderId="0" xfId="0" applyFont="1" applyAlignment="1" applyProtection="1">
      <alignment horizontal="center"/>
      <protection locked="0"/>
    </xf>
    <xf numFmtId="0" fontId="3" fillId="0" borderId="0" xfId="0" applyFont="1" applyAlignment="1">
      <alignment horizontal="center"/>
    </xf>
    <xf numFmtId="0" fontId="12" fillId="0" borderId="0" xfId="0" applyFont="1" applyAlignment="1">
      <alignment horizontal="center"/>
    </xf>
    <xf numFmtId="0" fontId="12" fillId="0" borderId="0" xfId="0" applyFont="1" applyAlignment="1">
      <alignment horizontal="left"/>
    </xf>
    <xf numFmtId="14" fontId="3" fillId="0" borderId="0" xfId="0" applyNumberFormat="1" applyFont="1" applyAlignment="1">
      <alignment horizontal="left"/>
    </xf>
    <xf numFmtId="0" fontId="12" fillId="0" borderId="0" xfId="0" applyFont="1" applyAlignment="1">
      <alignment horizontal="right"/>
    </xf>
    <xf numFmtId="0" fontId="9" fillId="0" borderId="0" xfId="0" applyFont="1"/>
    <xf numFmtId="0" fontId="10" fillId="0" borderId="0" xfId="0" applyFont="1" applyAlignment="1">
      <alignment wrapText="1"/>
    </xf>
    <xf numFmtId="0" fontId="13" fillId="0" borderId="0" xfId="1" applyFont="1" applyAlignment="1" applyProtection="1">
      <alignment wrapText="1"/>
    </xf>
    <xf numFmtId="0" fontId="13" fillId="0" borderId="0" xfId="1" applyFont="1" applyAlignment="1" applyProtection="1">
      <alignment horizontal="left"/>
      <protection locked="0"/>
    </xf>
    <xf numFmtId="0" fontId="3" fillId="0" borderId="0" xfId="0" applyFont="1" applyBorder="1" applyAlignment="1" applyProtection="1">
      <alignment horizontal="center"/>
      <protection locked="0"/>
    </xf>
    <xf numFmtId="0" fontId="12" fillId="0" borderId="0" xfId="0" applyFont="1" applyBorder="1" applyAlignment="1" applyProtection="1">
      <alignment horizontal="center"/>
      <protection locked="0"/>
    </xf>
    <xf numFmtId="0" fontId="12" fillId="0" borderId="0" xfId="0" applyFont="1" applyBorder="1" applyProtection="1">
      <protection locked="0"/>
    </xf>
    <xf numFmtId="0" fontId="3" fillId="0" borderId="0" xfId="0" applyFont="1" applyFill="1" applyBorder="1" applyAlignment="1">
      <alignment horizontal="right"/>
    </xf>
    <xf numFmtId="0" fontId="3" fillId="0" borderId="0" xfId="0" applyFont="1" applyBorder="1" applyAlignment="1">
      <alignment horizontal="center"/>
    </xf>
    <xf numFmtId="0" fontId="12" fillId="0" borderId="0" xfId="0" applyFont="1" applyBorder="1"/>
    <xf numFmtId="0" fontId="12" fillId="0" borderId="0" xfId="0" applyFont="1" applyBorder="1" applyAlignment="1">
      <alignment horizontal="center"/>
    </xf>
    <xf numFmtId="0" fontId="3" fillId="0" borderId="0" xfId="0" applyFont="1" applyFill="1" applyBorder="1" applyAlignment="1">
      <alignment horizontal="center"/>
    </xf>
    <xf numFmtId="11" fontId="12" fillId="0" borderId="0" xfId="0" applyNumberFormat="1" applyFont="1" applyBorder="1" applyAlignment="1">
      <alignment horizontal="center"/>
    </xf>
    <xf numFmtId="167" fontId="12" fillId="0" borderId="0" xfId="0" applyNumberFormat="1" applyFont="1" applyBorder="1" applyAlignment="1">
      <alignment horizontal="center"/>
    </xf>
    <xf numFmtId="0" fontId="5" fillId="0" borderId="0" xfId="0" applyFont="1" applyAlignment="1">
      <alignment horizontal="left"/>
    </xf>
    <xf numFmtId="0" fontId="20" fillId="0" borderId="0" xfId="0" applyFont="1"/>
    <xf numFmtId="0" fontId="14" fillId="0" borderId="0" xfId="0" applyFont="1" applyAlignment="1">
      <alignment horizontal="left"/>
    </xf>
    <xf numFmtId="0" fontId="3" fillId="0" borderId="0" xfId="0" applyFont="1" applyProtection="1">
      <protection locked="0"/>
    </xf>
    <xf numFmtId="0" fontId="13" fillId="0" borderId="13" xfId="1" applyFont="1" applyBorder="1" applyAlignment="1" applyProtection="1">
      <alignment horizontal="left"/>
      <protection locked="0"/>
    </xf>
    <xf numFmtId="0" fontId="12" fillId="0" borderId="9" xfId="0" applyFont="1" applyBorder="1" applyProtection="1">
      <protection locked="0"/>
    </xf>
    <xf numFmtId="0" fontId="12" fillId="0" borderId="10" xfId="0" applyFont="1" applyBorder="1" applyProtection="1">
      <protection locked="0"/>
    </xf>
    <xf numFmtId="0" fontId="14" fillId="0" borderId="0" xfId="0" applyFont="1"/>
    <xf numFmtId="0" fontId="5" fillId="0" borderId="0" xfId="2" applyFont="1" applyAlignment="1">
      <alignment horizontal="left"/>
    </xf>
    <xf numFmtId="0" fontId="3" fillId="0" borderId="0" xfId="2" applyFont="1" applyAlignment="1">
      <alignment horizontal="right"/>
    </xf>
    <xf numFmtId="0" fontId="8" fillId="0" borderId="0" xfId="2" applyFont="1" applyAlignment="1">
      <alignment horizontal="center"/>
    </xf>
    <xf numFmtId="0" fontId="3" fillId="0" borderId="0" xfId="2" applyFont="1"/>
    <xf numFmtId="0" fontId="3" fillId="0" borderId="11" xfId="2" applyFont="1" applyBorder="1" applyAlignment="1" applyProtection="1">
      <alignment horizontal="center"/>
      <protection locked="0"/>
    </xf>
    <xf numFmtId="0" fontId="3" fillId="0" borderId="0" xfId="2" applyFont="1" applyAlignment="1">
      <alignment horizontal="center"/>
    </xf>
    <xf numFmtId="169" fontId="3" fillId="0" borderId="0" xfId="2" applyNumberFormat="1" applyFont="1" applyAlignment="1">
      <alignment horizontal="center"/>
    </xf>
    <xf numFmtId="0" fontId="12" fillId="0" borderId="0" xfId="2" applyFont="1"/>
    <xf numFmtId="0" fontId="3" fillId="0" borderId="11" xfId="0" applyFont="1" applyBorder="1" applyAlignment="1" applyProtection="1">
      <alignment horizontal="center"/>
      <protection locked="0"/>
    </xf>
    <xf numFmtId="1" fontId="3" fillId="0" borderId="0" xfId="0" applyNumberFormat="1" applyFont="1" applyAlignment="1" applyProtection="1">
      <alignment horizontal="center"/>
      <protection locked="0"/>
    </xf>
    <xf numFmtId="0" fontId="3" fillId="0" borderId="17" xfId="0" applyFont="1" applyBorder="1" applyAlignment="1" applyProtection="1">
      <alignment horizontal="center"/>
      <protection locked="0"/>
    </xf>
    <xf numFmtId="0" fontId="3" fillId="0" borderId="2" xfId="0" applyFont="1" applyBorder="1" applyAlignment="1">
      <alignment horizontal="center"/>
    </xf>
    <xf numFmtId="0" fontId="3" fillId="0" borderId="18" xfId="0" applyFont="1" applyBorder="1" applyAlignment="1">
      <alignment horizontal="center"/>
    </xf>
    <xf numFmtId="166" fontId="3" fillId="0" borderId="2" xfId="0" applyNumberFormat="1" applyFont="1" applyBorder="1" applyAlignment="1">
      <alignment horizontal="center"/>
    </xf>
    <xf numFmtId="0" fontId="3" fillId="0" borderId="1" xfId="0" applyFont="1" applyBorder="1" applyAlignment="1">
      <alignment horizontal="center"/>
    </xf>
    <xf numFmtId="0" fontId="3" fillId="0" borderId="19" xfId="0" applyFont="1" applyBorder="1" applyAlignment="1" applyProtection="1">
      <alignment horizontal="center"/>
      <protection locked="0"/>
    </xf>
    <xf numFmtId="0" fontId="3" fillId="0" borderId="12" xfId="0" applyFont="1" applyBorder="1" applyAlignment="1">
      <alignment horizontal="center"/>
    </xf>
    <xf numFmtId="166" fontId="3" fillId="0" borderId="12" xfId="0" applyNumberFormat="1" applyFont="1" applyBorder="1" applyAlignment="1">
      <alignment horizontal="center"/>
    </xf>
    <xf numFmtId="0" fontId="3" fillId="0" borderId="15" xfId="0" applyFont="1" applyBorder="1" applyAlignment="1">
      <alignment horizontal="center"/>
    </xf>
    <xf numFmtId="0" fontId="3" fillId="0" borderId="0" xfId="0" quotePrefix="1" applyFont="1" applyBorder="1" applyAlignment="1">
      <alignment horizontal="center"/>
    </xf>
    <xf numFmtId="2" fontId="3" fillId="0" borderId="12" xfId="0" applyNumberFormat="1" applyFont="1" applyBorder="1" applyAlignment="1">
      <alignment horizontal="center"/>
    </xf>
    <xf numFmtId="165" fontId="3" fillId="0" borderId="0" xfId="0" applyNumberFormat="1" applyFont="1" applyBorder="1" applyAlignment="1">
      <alignment horizontal="center"/>
    </xf>
    <xf numFmtId="165" fontId="3" fillId="0" borderId="12" xfId="0" applyNumberFormat="1" applyFont="1" applyBorder="1" applyAlignment="1">
      <alignment horizontal="center"/>
    </xf>
    <xf numFmtId="167" fontId="3" fillId="0" borderId="12" xfId="0" applyNumberFormat="1" applyFont="1" applyBorder="1" applyAlignment="1">
      <alignment horizontal="center"/>
    </xf>
    <xf numFmtId="0" fontId="3" fillId="0" borderId="12" xfId="0" applyFont="1" applyFill="1" applyBorder="1" applyAlignment="1">
      <alignment horizontal="center"/>
    </xf>
    <xf numFmtId="0" fontId="3" fillId="0" borderId="15" xfId="0" applyFont="1" applyFill="1" applyBorder="1" applyAlignment="1">
      <alignment horizontal="center"/>
    </xf>
    <xf numFmtId="0" fontId="3" fillId="0" borderId="20" xfId="0" applyFont="1" applyFill="1" applyBorder="1" applyAlignment="1" applyProtection="1">
      <alignment horizontal="center"/>
      <protection locked="0"/>
    </xf>
    <xf numFmtId="0" fontId="3" fillId="0" borderId="14" xfId="0" applyFont="1" applyFill="1" applyBorder="1" applyAlignment="1">
      <alignment horizontal="center"/>
    </xf>
    <xf numFmtId="0" fontId="3" fillId="0" borderId="16" xfId="0" applyFont="1" applyFill="1" applyBorder="1" applyAlignment="1">
      <alignment horizontal="center"/>
    </xf>
    <xf numFmtId="167" fontId="3" fillId="0" borderId="14" xfId="0" applyNumberFormat="1" applyFont="1" applyFill="1" applyBorder="1" applyAlignment="1">
      <alignment horizontal="center"/>
    </xf>
    <xf numFmtId="0" fontId="3" fillId="0" borderId="21" xfId="0" applyFont="1" applyFill="1" applyBorder="1" applyAlignment="1">
      <alignment horizontal="center"/>
    </xf>
    <xf numFmtId="0" fontId="12" fillId="0" borderId="0" xfId="0" applyFont="1" applyAlignment="1" applyProtection="1">
      <alignment horizontal="center"/>
      <protection locked="0"/>
    </xf>
    <xf numFmtId="1" fontId="3" fillId="0" borderId="12" xfId="0" applyNumberFormat="1" applyFont="1" applyBorder="1" applyAlignment="1">
      <alignment horizontal="center"/>
    </xf>
    <xf numFmtId="1" fontId="3" fillId="0" borderId="14" xfId="0" applyNumberFormat="1" applyFont="1" applyBorder="1" applyAlignment="1">
      <alignment horizontal="center"/>
    </xf>
    <xf numFmtId="0" fontId="3" fillId="0" borderId="0" xfId="0" applyFont="1" applyAlignment="1">
      <alignment horizontal="right"/>
    </xf>
    <xf numFmtId="0" fontId="13" fillId="0" borderId="0" xfId="1" applyFont="1" applyAlignment="1" applyProtection="1">
      <alignment horizontal="left"/>
    </xf>
    <xf numFmtId="0" fontId="8" fillId="0" borderId="0" xfId="0" applyFont="1" applyAlignment="1">
      <alignment horizontal="center"/>
    </xf>
    <xf numFmtId="0" fontId="12" fillId="0" borderId="2" xfId="0" applyFont="1" applyBorder="1" applyAlignment="1" applyProtection="1">
      <alignment horizontal="left"/>
      <protection locked="0"/>
    </xf>
    <xf numFmtId="2" fontId="12" fillId="0" borderId="12" xfId="0" applyNumberFormat="1" applyFont="1" applyBorder="1" applyAlignment="1" applyProtection="1">
      <alignment horizontal="left"/>
      <protection locked="0"/>
    </xf>
    <xf numFmtId="0" fontId="12" fillId="0" borderId="14" xfId="0" applyFont="1" applyBorder="1" applyAlignment="1" applyProtection="1">
      <alignment horizontal="left"/>
      <protection locked="0"/>
    </xf>
    <xf numFmtId="169" fontId="12" fillId="0" borderId="0" xfId="0" applyNumberFormat="1" applyFont="1" applyAlignment="1">
      <alignment horizontal="left"/>
    </xf>
    <xf numFmtId="1" fontId="3" fillId="0" borderId="0" xfId="0" applyNumberFormat="1" applyFont="1" applyAlignment="1">
      <alignment horizontal="left"/>
    </xf>
    <xf numFmtId="2" fontId="3" fillId="0" borderId="0" xfId="0" applyNumberFormat="1" applyFont="1" applyAlignment="1">
      <alignment horizontal="left"/>
    </xf>
    <xf numFmtId="2" fontId="12" fillId="0" borderId="0" xfId="0" applyNumberFormat="1" applyFont="1" applyAlignment="1">
      <alignment horizontal="left"/>
    </xf>
    <xf numFmtId="165" fontId="3" fillId="0" borderId="0" xfId="0" applyNumberFormat="1" applyFont="1" applyAlignment="1">
      <alignment horizontal="left"/>
    </xf>
    <xf numFmtId="1" fontId="12" fillId="0" borderId="0" xfId="0" applyNumberFormat="1" applyFont="1" applyAlignment="1">
      <alignment horizontal="left"/>
    </xf>
    <xf numFmtId="0" fontId="16" fillId="0" borderId="0" xfId="0" applyFont="1" applyAlignment="1" applyProtection="1">
      <alignment horizontal="left"/>
      <protection locked="0"/>
    </xf>
    <xf numFmtId="0" fontId="8" fillId="0" borderId="0" xfId="0" applyFont="1" applyAlignment="1" applyProtection="1">
      <alignment horizontal="center"/>
      <protection locked="0"/>
    </xf>
    <xf numFmtId="2" fontId="3" fillId="0" borderId="0" xfId="0" applyNumberFormat="1" applyFont="1" applyAlignment="1" applyProtection="1">
      <alignment horizontal="left"/>
      <protection locked="0"/>
    </xf>
    <xf numFmtId="2" fontId="12" fillId="0" borderId="0" xfId="0" applyNumberFormat="1" applyFont="1" applyAlignment="1" applyProtection="1">
      <alignment horizontal="left"/>
      <protection locked="0"/>
    </xf>
    <xf numFmtId="1" fontId="12" fillId="0" borderId="0" xfId="0" applyNumberFormat="1" applyFont="1" applyAlignment="1" applyProtection="1">
      <alignment horizontal="left"/>
      <protection locked="0"/>
    </xf>
    <xf numFmtId="15" fontId="12" fillId="0" borderId="0" xfId="0" applyNumberFormat="1" applyFont="1"/>
    <xf numFmtId="0" fontId="20" fillId="0" borderId="0" xfId="0" applyFont="1" applyProtection="1">
      <protection locked="0"/>
    </xf>
    <xf numFmtId="2" fontId="3" fillId="6" borderId="11" xfId="0" applyNumberFormat="1" applyFont="1" applyFill="1" applyBorder="1" applyAlignment="1" applyProtection="1">
      <alignment horizontal="left"/>
      <protection locked="0"/>
    </xf>
    <xf numFmtId="2" fontId="3" fillId="4" borderId="11" xfId="0" applyNumberFormat="1" applyFont="1" applyFill="1" applyBorder="1" applyAlignment="1" applyProtection="1">
      <alignment horizontal="left"/>
      <protection locked="0"/>
    </xf>
    <xf numFmtId="0" fontId="3" fillId="0" borderId="0" xfId="0" quotePrefix="1" applyFont="1" applyAlignment="1">
      <alignment horizontal="right"/>
    </xf>
    <xf numFmtId="169" fontId="3" fillId="2" borderId="11" xfId="0" applyNumberFormat="1" applyFont="1" applyFill="1" applyBorder="1" applyAlignment="1" applyProtection="1">
      <alignment horizontal="left"/>
      <protection locked="0"/>
    </xf>
    <xf numFmtId="2" fontId="3" fillId="7" borderId="11" xfId="0" applyNumberFormat="1" applyFont="1" applyFill="1" applyBorder="1" applyAlignment="1" applyProtection="1">
      <alignment horizontal="left"/>
      <protection locked="0"/>
    </xf>
    <xf numFmtId="0" fontId="12" fillId="0" borderId="15" xfId="0" applyFont="1" applyBorder="1" applyProtection="1">
      <protection locked="0"/>
    </xf>
    <xf numFmtId="0" fontId="20" fillId="0" borderId="0" xfId="0" applyFont="1" applyBorder="1" applyProtection="1">
      <protection locked="0"/>
    </xf>
    <xf numFmtId="2" fontId="3" fillId="0" borderId="0" xfId="0" applyNumberFormat="1" applyFont="1" applyBorder="1" applyAlignment="1" applyProtection="1">
      <alignment horizontal="center"/>
      <protection locked="0"/>
    </xf>
    <xf numFmtId="0" fontId="19" fillId="0" borderId="0" xfId="0" applyFont="1" applyBorder="1" applyProtection="1">
      <protection locked="0"/>
    </xf>
    <xf numFmtId="0" fontId="3" fillId="0" borderId="0" xfId="0" applyFont="1" applyBorder="1" applyAlignment="1" applyProtection="1">
      <alignment horizontal="right"/>
      <protection locked="0"/>
    </xf>
    <xf numFmtId="0" fontId="20" fillId="0" borderId="0" xfId="0" applyFont="1" applyBorder="1" applyAlignment="1" applyProtection="1">
      <alignment horizontal="left"/>
      <protection locked="0"/>
    </xf>
    <xf numFmtId="0" fontId="20" fillId="0" borderId="0" xfId="0" quotePrefix="1" applyFont="1" applyBorder="1" applyAlignment="1" applyProtection="1">
      <alignment horizontal="right"/>
      <protection locked="0"/>
    </xf>
    <xf numFmtId="166" fontId="3" fillId="0" borderId="0" xfId="0" applyNumberFormat="1" applyFont="1" applyBorder="1" applyAlignment="1" applyProtection="1">
      <alignment horizontal="center"/>
      <protection locked="0"/>
    </xf>
    <xf numFmtId="164" fontId="3" fillId="0" borderId="0" xfId="0" applyNumberFormat="1" applyFont="1" applyBorder="1" applyAlignment="1" applyProtection="1">
      <alignment horizontal="center"/>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2" fontId="19" fillId="0" borderId="0" xfId="0" applyNumberFormat="1" applyFont="1" applyBorder="1" applyAlignment="1" applyProtection="1">
      <alignment horizontal="left"/>
      <protection locked="0"/>
    </xf>
    <xf numFmtId="0" fontId="3" fillId="0" borderId="0" xfId="0" applyFont="1" applyBorder="1"/>
    <xf numFmtId="166" fontId="19" fillId="0" borderId="0" xfId="0" applyNumberFormat="1" applyFont="1" applyBorder="1" applyAlignment="1" applyProtection="1">
      <alignment horizontal="left"/>
      <protection locked="0"/>
    </xf>
    <xf numFmtId="0" fontId="3" fillId="0" borderId="0" xfId="0" applyFont="1" applyBorder="1" applyAlignment="1">
      <alignment horizontal="left"/>
    </xf>
    <xf numFmtId="0" fontId="19" fillId="0" borderId="0" xfId="0" applyFont="1" applyBorder="1" applyAlignment="1" applyProtection="1">
      <alignment horizontal="left"/>
      <protection locked="0"/>
    </xf>
    <xf numFmtId="0" fontId="20" fillId="0" borderId="0" xfId="0" applyFont="1" applyBorder="1" applyAlignment="1" applyProtection="1">
      <alignment horizontal="right"/>
      <protection locked="0"/>
    </xf>
    <xf numFmtId="1" fontId="8" fillId="0" borderId="0" xfId="0" applyNumberFormat="1" applyFont="1" applyBorder="1" applyAlignment="1" applyProtection="1">
      <alignment horizontal="center"/>
      <protection locked="0"/>
    </xf>
    <xf numFmtId="15" fontId="12" fillId="0" borderId="0" xfId="0" applyNumberFormat="1" applyFont="1" applyProtection="1">
      <protection locked="0"/>
    </xf>
    <xf numFmtId="0" fontId="12" fillId="0" borderId="0" xfId="0" applyFont="1" applyFill="1" applyBorder="1" applyAlignment="1" applyProtection="1">
      <alignment horizontal="right"/>
      <protection locked="0"/>
    </xf>
    <xf numFmtId="0" fontId="3" fillId="0" borderId="0" xfId="0" applyFont="1" applyFill="1" applyBorder="1" applyAlignment="1" applyProtection="1">
      <alignment horizontal="right"/>
      <protection locked="0"/>
    </xf>
    <xf numFmtId="0" fontId="8" fillId="0" borderId="0" xfId="0" applyFont="1" applyFill="1" applyBorder="1" applyAlignment="1" applyProtection="1">
      <alignment horizontal="right"/>
      <protection locked="0"/>
    </xf>
    <xf numFmtId="0" fontId="12" fillId="0" borderId="0" xfId="0" applyFont="1" applyFill="1" applyBorder="1"/>
    <xf numFmtId="0" fontId="3" fillId="0" borderId="0" xfId="0" applyFont="1" applyFill="1" applyBorder="1"/>
    <xf numFmtId="0" fontId="12" fillId="0" borderId="0" xfId="0" applyFont="1" applyFill="1"/>
    <xf numFmtId="0" fontId="12" fillId="0" borderId="12" xfId="0" applyFont="1" applyBorder="1" applyAlignment="1" applyProtection="1">
      <alignment horizontal="left"/>
      <protection locked="0"/>
    </xf>
    <xf numFmtId="3" fontId="3" fillId="0" borderId="0" xfId="0" applyNumberFormat="1" applyFont="1" applyAlignment="1">
      <alignment horizontal="left"/>
    </xf>
    <xf numFmtId="166" fontId="3" fillId="0" borderId="0" xfId="0" applyNumberFormat="1" applyFont="1" applyAlignment="1">
      <alignment horizontal="left"/>
    </xf>
    <xf numFmtId="169" fontId="3" fillId="0" borderId="0" xfId="0" applyNumberFormat="1" applyFont="1" applyAlignment="1">
      <alignment horizontal="left"/>
    </xf>
    <xf numFmtId="166" fontId="12" fillId="0" borderId="0" xfId="0" applyNumberFormat="1" applyFont="1" applyBorder="1" applyAlignment="1" applyProtection="1">
      <alignment horizontal="left"/>
      <protection locked="0"/>
    </xf>
    <xf numFmtId="166" fontId="3" fillId="0" borderId="0" xfId="0" applyNumberFormat="1" applyFont="1" applyAlignment="1" applyProtection="1">
      <alignment horizontal="left"/>
      <protection locked="0"/>
    </xf>
    <xf numFmtId="0" fontId="3" fillId="0" borderId="0" xfId="0" applyFont="1" applyFill="1" applyAlignment="1" applyProtection="1">
      <alignment horizontal="left"/>
      <protection locked="0"/>
    </xf>
    <xf numFmtId="166" fontId="3" fillId="0" borderId="0" xfId="0" applyNumberFormat="1" applyFont="1" applyAlignment="1">
      <alignment horizontal="center"/>
    </xf>
    <xf numFmtId="0" fontId="8" fillId="0" borderId="0" xfId="0" applyFont="1" applyAlignment="1">
      <alignment horizontal="left"/>
    </xf>
    <xf numFmtId="0" fontId="12" fillId="0" borderId="0" xfId="0" applyFont="1" applyBorder="1" applyAlignment="1" applyProtection="1">
      <alignment horizontal="left"/>
      <protection locked="0"/>
    </xf>
    <xf numFmtId="2" fontId="12" fillId="0" borderId="0" xfId="0" applyNumberFormat="1" applyFont="1" applyBorder="1" applyAlignment="1" applyProtection="1">
      <alignment horizontal="left"/>
      <protection locked="0"/>
    </xf>
    <xf numFmtId="0" fontId="3" fillId="0" borderId="0" xfId="0" applyFont="1" applyFill="1" applyBorder="1" applyProtection="1">
      <protection locked="0"/>
    </xf>
    <xf numFmtId="169" fontId="12" fillId="0" borderId="0" xfId="0" applyNumberFormat="1" applyFont="1" applyAlignment="1" applyProtection="1">
      <alignment horizontal="left"/>
      <protection locked="0"/>
    </xf>
    <xf numFmtId="1" fontId="3" fillId="0" borderId="0" xfId="0" applyNumberFormat="1" applyFont="1" applyAlignment="1" applyProtection="1">
      <alignment horizontal="left"/>
      <protection locked="0"/>
    </xf>
    <xf numFmtId="1" fontId="12" fillId="0" borderId="0" xfId="0" applyNumberFormat="1" applyFont="1" applyAlignment="1">
      <alignment horizontal="right"/>
    </xf>
    <xf numFmtId="0" fontId="12" fillId="0" borderId="0" xfId="0" quotePrefix="1" applyFont="1" applyAlignment="1">
      <alignment horizontal="center"/>
    </xf>
    <xf numFmtId="0" fontId="12" fillId="0" borderId="0" xfId="0" applyFont="1" applyBorder="1" applyAlignment="1">
      <alignment horizontal="left"/>
    </xf>
    <xf numFmtId="0" fontId="3" fillId="0" borderId="0" xfId="0" applyFont="1" applyBorder="1" applyAlignment="1">
      <alignment horizontal="right"/>
    </xf>
    <xf numFmtId="0" fontId="3" fillId="0" borderId="0" xfId="0" applyFont="1" applyFill="1" applyAlignment="1">
      <alignment horizontal="left"/>
    </xf>
    <xf numFmtId="0" fontId="3" fillId="4" borderId="11" xfId="0" applyFont="1" applyFill="1" applyBorder="1" applyAlignment="1" applyProtection="1">
      <alignment horizontal="left"/>
      <protection locked="0"/>
    </xf>
    <xf numFmtId="168" fontId="3" fillId="0" borderId="0" xfId="0" applyNumberFormat="1" applyFont="1" applyAlignment="1">
      <alignment horizontal="left"/>
    </xf>
    <xf numFmtId="10" fontId="3" fillId="0" borderId="0" xfId="0" applyNumberFormat="1" applyFont="1" applyAlignment="1">
      <alignment horizontal="left"/>
    </xf>
    <xf numFmtId="9" fontId="3" fillId="0" borderId="0" xfId="0" applyNumberFormat="1" applyFont="1" applyAlignment="1">
      <alignment horizontal="left"/>
    </xf>
    <xf numFmtId="0" fontId="3" fillId="0" borderId="0" xfId="0" quotePrefix="1" applyFont="1" applyAlignment="1">
      <alignment horizontal="left"/>
    </xf>
    <xf numFmtId="166" fontId="12" fillId="0" borderId="0" xfId="0" applyNumberFormat="1" applyFont="1"/>
    <xf numFmtId="166" fontId="12" fillId="0" borderId="0" xfId="0" applyNumberFormat="1" applyFont="1" applyProtection="1">
      <protection locked="0"/>
    </xf>
    <xf numFmtId="167" fontId="12" fillId="0" borderId="0" xfId="0" applyNumberFormat="1" applyFont="1" applyAlignment="1">
      <alignment horizontal="left"/>
    </xf>
    <xf numFmtId="2" fontId="12" fillId="0" borderId="2" xfId="0" applyNumberFormat="1" applyFont="1" applyBorder="1" applyAlignment="1" applyProtection="1">
      <alignment horizontal="left"/>
      <protection locked="0"/>
    </xf>
    <xf numFmtId="0" fontId="12" fillId="0" borderId="11" xfId="0" applyFont="1" applyBorder="1" applyAlignment="1" applyProtection="1">
      <alignment horizontal="left"/>
      <protection locked="0"/>
    </xf>
    <xf numFmtId="0" fontId="12" fillId="0" borderId="0" xfId="0" applyFont="1" applyBorder="1" applyAlignment="1" applyProtection="1">
      <alignment horizontal="right"/>
      <protection locked="0"/>
    </xf>
    <xf numFmtId="167" fontId="3" fillId="0" borderId="0" xfId="0" applyNumberFormat="1" applyFont="1" applyAlignment="1" applyProtection="1">
      <alignment horizontal="left"/>
      <protection locked="0"/>
    </xf>
    <xf numFmtId="167" fontId="3" fillId="0" borderId="0" xfId="0" applyNumberFormat="1" applyFont="1" applyAlignment="1">
      <alignment horizontal="left"/>
    </xf>
    <xf numFmtId="169" fontId="12" fillId="0" borderId="2" xfId="0" applyNumberFormat="1" applyFont="1" applyBorder="1" applyAlignment="1" applyProtection="1">
      <alignment horizontal="left"/>
      <protection locked="0"/>
    </xf>
    <xf numFmtId="169" fontId="12" fillId="0" borderId="12" xfId="0" applyNumberFormat="1" applyFont="1" applyFill="1" applyBorder="1" applyAlignment="1" applyProtection="1">
      <alignment horizontal="left"/>
      <protection locked="0"/>
    </xf>
    <xf numFmtId="2" fontId="12" fillId="0" borderId="12" xfId="0" applyNumberFormat="1" applyFont="1" applyFill="1" applyBorder="1" applyAlignment="1" applyProtection="1">
      <alignment horizontal="left"/>
      <protection locked="0"/>
    </xf>
    <xf numFmtId="0" fontId="12" fillId="0" borderId="14" xfId="0" applyFont="1" applyFill="1" applyBorder="1" applyAlignment="1" applyProtection="1">
      <alignment horizontal="left"/>
      <protection locked="0"/>
    </xf>
    <xf numFmtId="0" fontId="8" fillId="0" borderId="0" xfId="0" applyFont="1" applyFill="1" applyAlignment="1">
      <alignment horizontal="center"/>
    </xf>
    <xf numFmtId="166" fontId="3" fillId="0" borderId="0" xfId="0" applyNumberFormat="1" applyFont="1" applyFill="1" applyAlignment="1">
      <alignment horizontal="left"/>
    </xf>
    <xf numFmtId="2" fontId="3" fillId="0" borderId="0" xfId="0" applyNumberFormat="1" applyFont="1" applyFill="1" applyAlignment="1">
      <alignment horizontal="left"/>
    </xf>
    <xf numFmtId="0" fontId="12" fillId="8" borderId="0" xfId="0" applyFont="1" applyFill="1" applyAlignment="1">
      <alignment horizontal="right"/>
    </xf>
    <xf numFmtId="0" fontId="12" fillId="8" borderId="0" xfId="0" applyFont="1" applyFill="1" applyAlignment="1">
      <alignment horizontal="left"/>
    </xf>
    <xf numFmtId="0" fontId="12" fillId="8" borderId="0" xfId="0" applyFont="1" applyFill="1" applyAlignment="1">
      <alignment horizontal="center"/>
    </xf>
    <xf numFmtId="0" fontId="3" fillId="0" borderId="0" xfId="0" applyFont="1" applyBorder="1" applyAlignment="1" applyProtection="1">
      <alignment horizontal="left"/>
      <protection locked="0"/>
    </xf>
    <xf numFmtId="0" fontId="3" fillId="0" borderId="13" xfId="0" applyFont="1" applyBorder="1" applyAlignment="1" applyProtection="1">
      <alignment horizontal="left"/>
      <protection locked="0"/>
    </xf>
    <xf numFmtId="166" fontId="3" fillId="0" borderId="9" xfId="0" applyNumberFormat="1" applyFont="1" applyBorder="1" applyAlignment="1" applyProtection="1">
      <alignment horizontal="left"/>
      <protection locked="0"/>
    </xf>
    <xf numFmtId="0" fontId="13" fillId="0" borderId="10" xfId="1" applyFont="1" applyBorder="1" applyAlignment="1" applyProtection="1">
      <alignment horizontal="left"/>
      <protection locked="0"/>
    </xf>
    <xf numFmtId="0" fontId="12" fillId="0" borderId="10" xfId="0" applyFont="1" applyBorder="1" applyAlignment="1" applyProtection="1">
      <alignment horizontal="left"/>
      <protection locked="0"/>
    </xf>
    <xf numFmtId="0" fontId="7" fillId="0" borderId="13" xfId="1" applyBorder="1" applyAlignment="1" applyProtection="1">
      <alignment horizontal="left"/>
      <protection locked="0"/>
    </xf>
    <xf numFmtId="0" fontId="11" fillId="0" borderId="0" xfId="0" applyFont="1" applyProtection="1">
      <protection locked="0"/>
    </xf>
    <xf numFmtId="0" fontId="13" fillId="0" borderId="0" xfId="1" applyFont="1" applyBorder="1" applyAlignment="1" applyProtection="1">
      <alignment horizontal="left"/>
      <protection locked="0"/>
    </xf>
    <xf numFmtId="166" fontId="3" fillId="0" borderId="0" xfId="0" applyNumberFormat="1" applyFont="1" applyBorder="1" applyAlignment="1" applyProtection="1">
      <alignment horizontal="left"/>
      <protection locked="0"/>
    </xf>
    <xf numFmtId="0" fontId="7" fillId="0" borderId="0" xfId="1" applyBorder="1" applyAlignment="1" applyProtection="1">
      <alignment horizontal="left"/>
      <protection locked="0"/>
    </xf>
    <xf numFmtId="0" fontId="12" fillId="0" borderId="9" xfId="0" applyFont="1" applyBorder="1" applyAlignment="1">
      <alignment horizontal="left"/>
    </xf>
    <xf numFmtId="0" fontId="22" fillId="0" borderId="13" xfId="1" applyFont="1" applyBorder="1" applyAlignment="1" applyProtection="1">
      <protection locked="0"/>
    </xf>
    <xf numFmtId="0" fontId="11" fillId="0" borderId="9" xfId="0" applyFont="1" applyBorder="1" applyAlignment="1" applyProtection="1">
      <alignment horizontal="left"/>
      <protection locked="0"/>
    </xf>
    <xf numFmtId="0" fontId="12" fillId="0" borderId="0" xfId="0" applyFont="1" applyBorder="1" applyAlignment="1">
      <alignment horizontal="right"/>
    </xf>
    <xf numFmtId="0" fontId="11" fillId="0" borderId="9" xfId="0" applyFont="1" applyBorder="1" applyProtection="1">
      <protection locked="0"/>
    </xf>
    <xf numFmtId="0" fontId="11" fillId="0" borderId="9" xfId="0" applyFont="1" applyBorder="1" applyAlignment="1">
      <alignment horizontal="center"/>
    </xf>
    <xf numFmtId="0" fontId="12" fillId="0" borderId="10" xfId="0" applyFont="1" applyBorder="1" applyAlignment="1">
      <alignment horizontal="right"/>
    </xf>
    <xf numFmtId="2" fontId="12" fillId="0" borderId="11" xfId="0" applyNumberFormat="1" applyFont="1" applyBorder="1" applyAlignment="1" applyProtection="1">
      <alignment horizontal="left"/>
      <protection locked="0"/>
    </xf>
    <xf numFmtId="0" fontId="12" fillId="0" borderId="0" xfId="0" applyFont="1" applyFill="1" applyBorder="1" applyProtection="1">
      <protection locked="0"/>
    </xf>
    <xf numFmtId="1" fontId="12" fillId="0" borderId="0" xfId="0" applyNumberFormat="1" applyFont="1" applyAlignment="1" applyProtection="1">
      <alignment horizontal="right"/>
      <protection locked="0"/>
    </xf>
    <xf numFmtId="167" fontId="12" fillId="0" borderId="0" xfId="0" applyNumberFormat="1" applyFont="1" applyBorder="1" applyAlignment="1" applyProtection="1">
      <alignment horizontal="left"/>
      <protection locked="0"/>
    </xf>
    <xf numFmtId="166" fontId="12" fillId="0" borderId="12" xfId="0" applyNumberFormat="1" applyFont="1" applyBorder="1" applyAlignment="1" applyProtection="1">
      <alignment horizontal="left"/>
      <protection locked="0"/>
    </xf>
    <xf numFmtId="166" fontId="12" fillId="0" borderId="14" xfId="0" applyNumberFormat="1" applyFont="1" applyBorder="1" applyAlignment="1" applyProtection="1">
      <alignment horizontal="left"/>
      <protection locked="0"/>
    </xf>
    <xf numFmtId="166" fontId="3" fillId="0" borderId="0" xfId="0" applyNumberFormat="1" applyFont="1" applyBorder="1" applyAlignment="1">
      <alignment horizontal="center"/>
    </xf>
    <xf numFmtId="166" fontId="12" fillId="0" borderId="2" xfId="0" applyNumberFormat="1" applyFont="1" applyBorder="1" applyAlignment="1" applyProtection="1">
      <alignment horizontal="left"/>
      <protection locked="0"/>
    </xf>
    <xf numFmtId="169" fontId="12" fillId="0" borderId="14" xfId="0" applyNumberFormat="1" applyFont="1" applyBorder="1" applyAlignment="1" applyProtection="1">
      <alignment horizontal="left"/>
      <protection locked="0"/>
    </xf>
    <xf numFmtId="169" fontId="12" fillId="0" borderId="0" xfId="0" applyNumberFormat="1" applyFont="1" applyBorder="1" applyAlignment="1" applyProtection="1">
      <alignment horizontal="left"/>
      <protection locked="0"/>
    </xf>
    <xf numFmtId="166" fontId="12" fillId="0" borderId="0" xfId="0" applyNumberFormat="1" applyFont="1" applyAlignment="1">
      <alignment horizontal="left"/>
    </xf>
    <xf numFmtId="169" fontId="12" fillId="0" borderId="12" xfId="0" applyNumberFormat="1" applyFont="1" applyBorder="1" applyAlignment="1" applyProtection="1">
      <alignment horizontal="left"/>
      <protection locked="0"/>
    </xf>
    <xf numFmtId="2" fontId="12" fillId="0" borderId="14" xfId="0" applyNumberFormat="1" applyFont="1" applyBorder="1" applyAlignment="1" applyProtection="1">
      <alignment horizontal="left"/>
      <protection locked="0"/>
    </xf>
    <xf numFmtId="0" fontId="8" fillId="0" borderId="0" xfId="0" applyFont="1" applyBorder="1" applyAlignment="1" applyProtection="1">
      <alignment horizontal="left"/>
      <protection locked="0"/>
    </xf>
    <xf numFmtId="166" fontId="12" fillId="0" borderId="0" xfId="0" applyNumberFormat="1" applyFont="1" applyAlignment="1" applyProtection="1">
      <alignment horizontal="left"/>
      <protection locked="0"/>
    </xf>
    <xf numFmtId="0" fontId="8" fillId="0" borderId="0" xfId="0" applyFont="1" applyAlignment="1" applyProtection="1">
      <alignment horizontal="left"/>
      <protection locked="0"/>
    </xf>
    <xf numFmtId="168" fontId="3" fillId="0" borderId="0" xfId="3" applyNumberFormat="1" applyFont="1" applyAlignment="1">
      <alignment horizontal="left"/>
    </xf>
    <xf numFmtId="3" fontId="12" fillId="0" borderId="0" xfId="0" applyNumberFormat="1" applyFont="1" applyAlignment="1">
      <alignment horizontal="left"/>
    </xf>
    <xf numFmtId="0" fontId="11" fillId="0" borderId="0" xfId="0" applyFont="1"/>
    <xf numFmtId="0" fontId="23" fillId="0" borderId="0" xfId="0" applyFont="1"/>
    <xf numFmtId="0" fontId="24" fillId="0" borderId="0" xfId="1" applyFont="1" applyAlignment="1" applyProtection="1">
      <alignment horizontal="left"/>
    </xf>
    <xf numFmtId="0" fontId="12" fillId="0" borderId="0" xfId="0" applyFont="1" applyAlignment="1" applyProtection="1">
      <protection locked="0"/>
    </xf>
    <xf numFmtId="0" fontId="12" fillId="0" borderId="13" xfId="0" applyFont="1" applyBorder="1" applyAlignment="1" applyProtection="1">
      <protection locked="0"/>
    </xf>
    <xf numFmtId="166" fontId="3" fillId="0" borderId="10" xfId="0" applyNumberFormat="1" applyFont="1" applyBorder="1" applyAlignment="1" applyProtection="1">
      <protection locked="0"/>
    </xf>
    <xf numFmtId="0" fontId="12" fillId="0" borderId="2" xfId="0" applyFont="1" applyBorder="1"/>
    <xf numFmtId="0" fontId="12" fillId="0" borderId="14" xfId="0" applyFont="1" applyBorder="1"/>
    <xf numFmtId="2" fontId="12" fillId="0" borderId="12" xfId="0" applyNumberFormat="1" applyFont="1" applyBorder="1" applyAlignment="1">
      <alignment horizontal="left"/>
    </xf>
    <xf numFmtId="2" fontId="12" fillId="0" borderId="2" xfId="0" applyNumberFormat="1" applyFont="1" applyBorder="1" applyAlignment="1">
      <alignment horizontal="left"/>
    </xf>
    <xf numFmtId="167" fontId="12" fillId="0" borderId="14" xfId="0" applyNumberFormat="1" applyFont="1" applyBorder="1" applyAlignment="1">
      <alignment horizontal="left"/>
    </xf>
    <xf numFmtId="169" fontId="12" fillId="0" borderId="14" xfId="0" applyNumberFormat="1" applyFont="1" applyBorder="1" applyAlignment="1">
      <alignment horizontal="center"/>
    </xf>
    <xf numFmtId="1" fontId="12" fillId="0" borderId="12" xfId="0" applyNumberFormat="1" applyFont="1" applyBorder="1" applyAlignment="1">
      <alignment horizontal="center"/>
    </xf>
    <xf numFmtId="2" fontId="12" fillId="0" borderId="2" xfId="0" applyNumberFormat="1" applyFont="1" applyBorder="1" applyAlignment="1">
      <alignment horizontal="center"/>
    </xf>
    <xf numFmtId="167" fontId="12" fillId="0" borderId="12" xfId="0" applyNumberFormat="1" applyFont="1" applyBorder="1" applyAlignment="1">
      <alignment horizontal="center"/>
    </xf>
    <xf numFmtId="0" fontId="11" fillId="0" borderId="0" xfId="0" applyFont="1" applyAlignment="1" applyProtection="1">
      <alignment horizontal="right"/>
      <protection locked="0"/>
    </xf>
    <xf numFmtId="0" fontId="22" fillId="0" borderId="0" xfId="1" applyFont="1" applyAlignment="1" applyProtection="1">
      <alignment horizontal="left"/>
      <protection locked="0"/>
    </xf>
    <xf numFmtId="1" fontId="3" fillId="0" borderId="0" xfId="0" applyNumberFormat="1" applyFont="1" applyBorder="1" applyAlignment="1">
      <alignment horizontal="center"/>
    </xf>
    <xf numFmtId="169" fontId="3" fillId="0" borderId="0" xfId="0" applyNumberFormat="1" applyFont="1" applyAlignment="1">
      <alignment horizontal="right"/>
    </xf>
    <xf numFmtId="1" fontId="12" fillId="0" borderId="0" xfId="0" applyNumberFormat="1" applyFont="1" applyBorder="1" applyAlignment="1" applyProtection="1">
      <alignment horizontal="center"/>
      <protection locked="0"/>
    </xf>
    <xf numFmtId="2" fontId="3" fillId="0" borderId="0" xfId="0" applyNumberFormat="1" applyFont="1" applyBorder="1" applyAlignment="1">
      <alignment horizontal="left"/>
    </xf>
    <xf numFmtId="2" fontId="3" fillId="0" borderId="0" xfId="3" applyNumberFormat="1" applyFont="1" applyBorder="1" applyAlignment="1">
      <alignment horizontal="left"/>
    </xf>
    <xf numFmtId="10" fontId="3" fillId="0" borderId="0" xfId="3" applyNumberFormat="1" applyFont="1" applyBorder="1" applyAlignment="1">
      <alignment horizontal="left"/>
    </xf>
    <xf numFmtId="2" fontId="3" fillId="0" borderId="0" xfId="0" applyNumberFormat="1" applyFont="1" applyAlignment="1">
      <alignment horizontal="right"/>
    </xf>
    <xf numFmtId="0" fontId="12" fillId="0" borderId="0" xfId="0" applyFont="1" applyAlignment="1" applyProtection="1">
      <alignment horizontal="left"/>
    </xf>
    <xf numFmtId="0" fontId="12" fillId="0" borderId="0" xfId="0" applyFont="1" applyProtection="1"/>
    <xf numFmtId="0" fontId="12" fillId="0" borderId="0" xfId="0" applyFont="1" applyAlignment="1" applyProtection="1">
      <alignment horizontal="right"/>
    </xf>
    <xf numFmtId="0" fontId="8" fillId="0" borderId="0" xfId="0" applyFont="1" applyAlignment="1" applyProtection="1">
      <alignment horizontal="center"/>
    </xf>
    <xf numFmtId="0" fontId="12" fillId="0" borderId="0" xfId="0" applyFont="1" applyBorder="1" applyAlignment="1" applyProtection="1">
      <alignment horizontal="right"/>
    </xf>
    <xf numFmtId="0" fontId="12" fillId="0" borderId="0" xfId="0" applyFont="1" applyBorder="1" applyProtection="1"/>
    <xf numFmtId="0" fontId="3" fillId="0" borderId="0" xfId="0" applyFont="1" applyAlignment="1" applyProtection="1">
      <alignment horizontal="right"/>
    </xf>
    <xf numFmtId="2" fontId="3" fillId="0" borderId="0" xfId="0" applyNumberFormat="1" applyFont="1" applyBorder="1" applyAlignment="1" applyProtection="1">
      <alignment horizontal="left"/>
    </xf>
    <xf numFmtId="0" fontId="3" fillId="0" borderId="0" xfId="0" applyFont="1" applyBorder="1" applyProtection="1"/>
    <xf numFmtId="1" fontId="12" fillId="0" borderId="0" xfId="0" quotePrefix="1" applyNumberFormat="1" applyFont="1" applyProtection="1">
      <protection locked="0"/>
    </xf>
    <xf numFmtId="0" fontId="3" fillId="0" borderId="0" xfId="0" applyFont="1" applyBorder="1" applyAlignment="1" applyProtection="1">
      <alignment horizontal="left"/>
    </xf>
    <xf numFmtId="166" fontId="3" fillId="0" borderId="0" xfId="0" applyNumberFormat="1" applyFont="1" applyAlignment="1" applyProtection="1">
      <alignment horizontal="left"/>
    </xf>
    <xf numFmtId="165" fontId="3" fillId="0" borderId="0" xfId="0" applyNumberFormat="1" applyFont="1" applyAlignment="1" applyProtection="1">
      <alignment horizontal="left"/>
    </xf>
    <xf numFmtId="2" fontId="3" fillId="0" borderId="0" xfId="0" applyNumberFormat="1" applyFont="1" applyAlignment="1" applyProtection="1">
      <alignment horizontal="left"/>
    </xf>
    <xf numFmtId="1" fontId="3" fillId="0" borderId="0" xfId="0" applyNumberFormat="1" applyFont="1" applyAlignment="1" applyProtection="1">
      <alignment horizontal="left"/>
    </xf>
    <xf numFmtId="0" fontId="12" fillId="0" borderId="0" xfId="0" applyFont="1" applyAlignment="1" applyProtection="1">
      <alignment horizontal="center"/>
    </xf>
    <xf numFmtId="166" fontId="12" fillId="0" borderId="0" xfId="0" applyNumberFormat="1" applyFont="1" applyProtection="1"/>
    <xf numFmtId="0" fontId="3" fillId="0" borderId="0" xfId="0" applyFont="1" applyBorder="1" applyAlignment="1" applyProtection="1">
      <alignment horizontal="center"/>
    </xf>
    <xf numFmtId="0" fontId="3" fillId="0" borderId="0" xfId="0" applyFont="1" applyBorder="1" applyAlignment="1" applyProtection="1">
      <alignment horizontal="right"/>
    </xf>
    <xf numFmtId="1" fontId="3" fillId="0" borderId="0" xfId="0" applyNumberFormat="1" applyFont="1" applyAlignment="1">
      <alignment horizontal="center"/>
    </xf>
    <xf numFmtId="167" fontId="12" fillId="0" borderId="0" xfId="0" applyNumberFormat="1" applyFont="1" applyBorder="1" applyAlignment="1">
      <alignment horizontal="left"/>
    </xf>
    <xf numFmtId="167" fontId="3" fillId="4" borderId="11" xfId="0" applyNumberFormat="1" applyFont="1" applyFill="1" applyBorder="1" applyAlignment="1" applyProtection="1">
      <alignment horizontal="left"/>
      <protection locked="0"/>
    </xf>
    <xf numFmtId="0" fontId="3" fillId="0" borderId="16" xfId="0" applyFont="1" applyBorder="1" applyAlignment="1" applyProtection="1">
      <alignment horizontal="right"/>
    </xf>
    <xf numFmtId="166" fontId="3" fillId="2" borderId="11" xfId="0" applyNumberFormat="1" applyFont="1" applyFill="1" applyBorder="1" applyAlignment="1" applyProtection="1">
      <alignment horizontal="left"/>
      <protection locked="0"/>
    </xf>
    <xf numFmtId="0" fontId="3" fillId="0" borderId="16" xfId="0" applyFont="1" applyBorder="1" applyProtection="1"/>
    <xf numFmtId="0" fontId="12" fillId="0" borderId="16" xfId="0" applyFont="1" applyBorder="1" applyAlignment="1" applyProtection="1">
      <alignment horizontal="right"/>
    </xf>
    <xf numFmtId="1" fontId="3" fillId="0" borderId="16" xfId="0" applyNumberFormat="1" applyFont="1" applyBorder="1" applyAlignment="1" applyProtection="1">
      <alignment horizontal="left"/>
    </xf>
    <xf numFmtId="0" fontId="12" fillId="0" borderId="0" xfId="0" applyFont="1" applyFill="1" applyBorder="1" applyProtection="1"/>
    <xf numFmtId="167" fontId="3" fillId="0" borderId="0" xfId="0" applyNumberFormat="1" applyFont="1" applyAlignment="1" applyProtection="1">
      <alignment horizontal="left"/>
    </xf>
    <xf numFmtId="168" fontId="3" fillId="0" borderId="0" xfId="3" applyNumberFormat="1" applyFont="1" applyAlignment="1" applyProtection="1">
      <alignment horizontal="left"/>
    </xf>
    <xf numFmtId="166" fontId="3" fillId="0" borderId="0" xfId="0" applyNumberFormat="1" applyFont="1" applyFill="1" applyBorder="1" applyAlignment="1">
      <alignment horizontal="left"/>
    </xf>
    <xf numFmtId="0" fontId="12" fillId="0" borderId="0" xfId="0" applyFont="1" applyFill="1" applyBorder="1" applyAlignment="1">
      <alignment horizontal="right"/>
    </xf>
    <xf numFmtId="1" fontId="3" fillId="0" borderId="0" xfId="0" applyNumberFormat="1" applyFont="1" applyFill="1" applyBorder="1" applyAlignment="1">
      <alignment horizontal="left"/>
    </xf>
    <xf numFmtId="0" fontId="12" fillId="0" borderId="0" xfId="0" applyFont="1" applyFill="1" applyBorder="1" applyAlignment="1">
      <alignment horizontal="left"/>
    </xf>
    <xf numFmtId="0" fontId="21" fillId="0" borderId="0" xfId="0" applyFont="1" applyBorder="1"/>
    <xf numFmtId="0" fontId="3" fillId="0" borderId="16" xfId="0" applyFont="1" applyBorder="1" applyAlignment="1">
      <alignment horizontal="right"/>
    </xf>
    <xf numFmtId="0" fontId="3" fillId="0" borderId="16" xfId="0" applyFont="1" applyBorder="1"/>
    <xf numFmtId="0" fontId="12" fillId="0" borderId="16" xfId="0" applyFont="1" applyBorder="1" applyAlignment="1">
      <alignment horizontal="right"/>
    </xf>
    <xf numFmtId="1" fontId="3" fillId="0" borderId="16" xfId="0" applyNumberFormat="1" applyFont="1" applyBorder="1" applyAlignment="1">
      <alignment horizontal="left"/>
    </xf>
    <xf numFmtId="0" fontId="17" fillId="0" borderId="0" xfId="0" applyFont="1" applyAlignment="1">
      <alignment horizontal="left"/>
    </xf>
    <xf numFmtId="0" fontId="20" fillId="0" borderId="0" xfId="0" applyFont="1" applyAlignment="1">
      <alignment horizontal="right"/>
    </xf>
    <xf numFmtId="2" fontId="3" fillId="0" borderId="0" xfId="0" applyNumberFormat="1" applyFont="1" applyAlignment="1" applyProtection="1">
      <alignment horizontal="center"/>
      <protection locked="0"/>
    </xf>
    <xf numFmtId="0" fontId="19" fillId="0" borderId="0" xfId="0" applyFont="1" applyProtection="1">
      <protection locked="0"/>
    </xf>
    <xf numFmtId="0" fontId="20" fillId="0" borderId="0" xfId="0" applyFont="1" applyAlignment="1" applyProtection="1">
      <alignment horizontal="left"/>
      <protection locked="0"/>
    </xf>
    <xf numFmtId="0" fontId="20" fillId="0" borderId="0" xfId="0" quotePrefix="1" applyFont="1" applyAlignment="1" applyProtection="1">
      <alignment horizontal="right"/>
      <protection locked="0"/>
    </xf>
    <xf numFmtId="166" fontId="3" fillId="0" borderId="0" xfId="0" applyNumberFormat="1" applyFont="1" applyAlignment="1" applyProtection="1">
      <alignment horizontal="center"/>
      <protection locked="0"/>
    </xf>
    <xf numFmtId="164" fontId="3" fillId="0" borderId="0" xfId="0" applyNumberFormat="1" applyFont="1" applyAlignment="1" applyProtection="1">
      <alignment horizontal="center"/>
      <protection locked="0"/>
    </xf>
    <xf numFmtId="0" fontId="19" fillId="0" borderId="0" xfId="0" applyFont="1" applyAlignment="1" applyProtection="1">
      <alignment horizontal="center"/>
      <protection locked="0"/>
    </xf>
    <xf numFmtId="0" fontId="19" fillId="0" borderId="0" xfId="0" applyFont="1" applyAlignment="1" applyProtection="1">
      <alignment horizontal="left"/>
      <protection locked="0"/>
    </xf>
    <xf numFmtId="0" fontId="19" fillId="0" borderId="0" xfId="0" applyFont="1" applyAlignment="1" applyProtection="1">
      <alignment horizontal="right"/>
      <protection locked="0"/>
    </xf>
    <xf numFmtId="2" fontId="19" fillId="0" borderId="0" xfId="0" applyNumberFormat="1" applyFont="1" applyAlignment="1" applyProtection="1">
      <alignment horizontal="left"/>
      <protection locked="0"/>
    </xf>
    <xf numFmtId="0" fontId="20"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166" fontId="19" fillId="0" borderId="0" xfId="0" applyNumberFormat="1" applyFont="1" applyAlignment="1" applyProtection="1">
      <alignment horizontal="left"/>
      <protection locked="0"/>
    </xf>
    <xf numFmtId="166" fontId="19" fillId="0" borderId="0" xfId="0" applyNumberFormat="1" applyFont="1" applyAlignment="1">
      <alignment horizontal="left"/>
    </xf>
    <xf numFmtId="2" fontId="19" fillId="0" borderId="0" xfId="0" applyNumberFormat="1" applyFont="1" applyAlignment="1">
      <alignment horizontal="left"/>
    </xf>
    <xf numFmtId="0" fontId="20" fillId="0" borderId="0" xfId="0" applyFont="1" applyAlignment="1" applyProtection="1">
      <alignment horizontal="right"/>
      <protection locked="0"/>
    </xf>
    <xf numFmtId="1" fontId="8" fillId="0" borderId="0" xfId="0" applyNumberFormat="1" applyFont="1" applyAlignment="1" applyProtection="1">
      <alignment horizontal="center"/>
      <protection locked="0"/>
    </xf>
    <xf numFmtId="0" fontId="14" fillId="0" borderId="0" xfId="0" applyFont="1" applyBorder="1" applyAlignment="1" applyProtection="1">
      <alignment horizontal="left"/>
      <protection locked="0"/>
    </xf>
    <xf numFmtId="15" fontId="12" fillId="0" borderId="0" xfId="0" applyNumberFormat="1" applyFont="1" applyBorder="1" applyProtection="1">
      <protection locked="0"/>
    </xf>
    <xf numFmtId="0" fontId="17" fillId="0" borderId="0" xfId="0" applyFont="1" applyBorder="1" applyAlignment="1" applyProtection="1">
      <alignment horizontal="left"/>
      <protection locked="0"/>
    </xf>
    <xf numFmtId="0" fontId="3" fillId="0" borderId="0" xfId="0" applyFont="1" applyBorder="1" applyProtection="1">
      <protection locked="0"/>
    </xf>
    <xf numFmtId="0" fontId="3" fillId="0" borderId="0" xfId="0" quotePrefix="1" applyFont="1" applyBorder="1" applyAlignment="1" applyProtection="1">
      <alignment horizontal="right"/>
      <protection locked="0"/>
    </xf>
    <xf numFmtId="0" fontId="2" fillId="0" borderId="0" xfId="0" applyFont="1" applyBorder="1" applyAlignment="1" applyProtection="1">
      <alignment horizontal="left"/>
      <protection locked="0"/>
    </xf>
    <xf numFmtId="0" fontId="12" fillId="0" borderId="12" xfId="0" applyFont="1" applyBorder="1" applyProtection="1">
      <protection locked="0"/>
    </xf>
    <xf numFmtId="0" fontId="12" fillId="0" borderId="14" xfId="0" applyFont="1" applyBorder="1" applyProtection="1">
      <protection locked="0"/>
    </xf>
    <xf numFmtId="0" fontId="7" fillId="0" borderId="15" xfId="1" applyBorder="1" applyAlignment="1" applyProtection="1">
      <protection locked="0"/>
    </xf>
    <xf numFmtId="0" fontId="7" fillId="0" borderId="21" xfId="1" applyBorder="1" applyAlignment="1" applyProtection="1">
      <protection locked="0"/>
    </xf>
    <xf numFmtId="0" fontId="26" fillId="0" borderId="0" xfId="0" applyFont="1" applyBorder="1" applyAlignment="1" applyProtection="1">
      <alignment horizontal="left"/>
      <protection locked="0"/>
    </xf>
    <xf numFmtId="0" fontId="5" fillId="0" borderId="0" xfId="0" applyFont="1" applyAlignment="1" applyProtection="1">
      <alignment horizontal="left"/>
    </xf>
    <xf numFmtId="0" fontId="14" fillId="0" borderId="0" xfId="0" applyFont="1" applyAlignment="1" applyProtection="1">
      <alignment horizontal="left"/>
    </xf>
    <xf numFmtId="0" fontId="12" fillId="0" borderId="2" xfId="0" applyFont="1" applyBorder="1" applyAlignment="1" applyProtection="1">
      <alignment horizontal="left"/>
    </xf>
    <xf numFmtId="0" fontId="12" fillId="0" borderId="12" xfId="0" applyFont="1" applyBorder="1" applyAlignment="1" applyProtection="1">
      <alignment horizontal="left"/>
    </xf>
    <xf numFmtId="0" fontId="12" fillId="0" borderId="14" xfId="0" applyFont="1" applyBorder="1" applyAlignment="1" applyProtection="1">
      <alignment horizontal="left"/>
    </xf>
    <xf numFmtId="167" fontId="3" fillId="4" borderId="11" xfId="0" applyNumberFormat="1" applyFont="1" applyFill="1" applyBorder="1" applyAlignment="1" applyProtection="1">
      <alignment horizontal="left"/>
    </xf>
    <xf numFmtId="166" fontId="3" fillId="2" borderId="11" xfId="0" applyNumberFormat="1" applyFont="1" applyFill="1" applyBorder="1" applyAlignment="1" applyProtection="1">
      <alignment horizontal="left"/>
    </xf>
    <xf numFmtId="0" fontId="13" fillId="0" borderId="0" xfId="1" applyFont="1" applyAlignment="1" applyProtection="1">
      <protection locked="0"/>
    </xf>
    <xf numFmtId="0" fontId="12" fillId="0" borderId="12" xfId="0" applyFont="1" applyFill="1" applyBorder="1" applyAlignment="1" applyProtection="1">
      <alignment horizontal="left"/>
      <protection locked="0"/>
    </xf>
    <xf numFmtId="0" fontId="12" fillId="0" borderId="0" xfId="0" applyFont="1" applyFill="1" applyBorder="1" applyAlignment="1" applyProtection="1">
      <alignment horizontal="left"/>
      <protection locked="0"/>
    </xf>
    <xf numFmtId="169" fontId="3" fillId="0" borderId="0" xfId="0" applyNumberFormat="1" applyFont="1" applyAlignment="1" applyProtection="1">
      <alignment horizontal="left"/>
    </xf>
    <xf numFmtId="2" fontId="3" fillId="0" borderId="0" xfId="0" applyNumberFormat="1" applyFont="1" applyAlignment="1">
      <alignment horizontal="center"/>
    </xf>
    <xf numFmtId="167" fontId="3" fillId="3" borderId="11" xfId="3" applyNumberFormat="1" applyFont="1" applyFill="1" applyBorder="1" applyAlignment="1" applyProtection="1">
      <alignment horizontal="left"/>
      <protection locked="0"/>
    </xf>
    <xf numFmtId="167" fontId="12" fillId="0" borderId="0" xfId="0" applyNumberFormat="1" applyFont="1"/>
    <xf numFmtId="0" fontId="13" fillId="0" borderId="0" xfId="1" applyFont="1" applyAlignment="1" applyProtection="1"/>
    <xf numFmtId="166" fontId="12" fillId="0" borderId="0" xfId="0" applyNumberFormat="1" applyFont="1" applyBorder="1" applyAlignment="1">
      <alignment horizontal="left"/>
    </xf>
    <xf numFmtId="1" fontId="12" fillId="0" borderId="2" xfId="0" applyNumberFormat="1" applyFont="1" applyBorder="1" applyAlignment="1" applyProtection="1">
      <alignment horizontal="left"/>
      <protection locked="0"/>
    </xf>
    <xf numFmtId="0" fontId="12" fillId="0" borderId="0" xfId="0" quotePrefix="1" applyFont="1"/>
    <xf numFmtId="2" fontId="12" fillId="0" borderId="0" xfId="0" applyNumberFormat="1" applyFont="1" applyBorder="1" applyAlignment="1" applyProtection="1">
      <alignment horizontal="left"/>
    </xf>
    <xf numFmtId="166" fontId="3" fillId="0" borderId="0" xfId="0" applyNumberFormat="1" applyFont="1" applyFill="1" applyBorder="1" applyAlignment="1">
      <alignment horizontal="center"/>
    </xf>
    <xf numFmtId="0" fontId="12" fillId="0" borderId="0" xfId="0" applyFont="1" applyBorder="1" applyAlignment="1" applyProtection="1">
      <alignment horizontal="left"/>
    </xf>
    <xf numFmtId="0" fontId="8" fillId="0" borderId="0" xfId="0" applyFont="1" applyBorder="1" applyAlignment="1">
      <alignment horizontal="center"/>
    </xf>
    <xf numFmtId="2" fontId="3" fillId="0" borderId="0" xfId="0" applyNumberFormat="1" applyFont="1" applyBorder="1" applyAlignment="1">
      <alignment horizontal="center"/>
    </xf>
    <xf numFmtId="2" fontId="3" fillId="0" borderId="0" xfId="0" applyNumberFormat="1" applyFont="1" applyFill="1" applyBorder="1" applyAlignment="1">
      <alignment horizontal="center"/>
    </xf>
    <xf numFmtId="1" fontId="3" fillId="0" borderId="0" xfId="0" applyNumberFormat="1" applyFont="1" applyFill="1" applyBorder="1" applyAlignment="1">
      <alignment horizontal="center"/>
    </xf>
    <xf numFmtId="1" fontId="12" fillId="0" borderId="0" xfId="0" applyNumberFormat="1" applyFont="1" applyBorder="1" applyAlignment="1">
      <alignment horizontal="left"/>
    </xf>
    <xf numFmtId="169" fontId="12" fillId="0" borderId="0" xfId="0" applyNumberFormat="1" applyFont="1" applyBorder="1" applyAlignment="1">
      <alignment horizontal="left"/>
    </xf>
    <xf numFmtId="2" fontId="12" fillId="0" borderId="0" xfId="0" applyNumberFormat="1" applyFont="1" applyBorder="1" applyAlignment="1">
      <alignment horizontal="left"/>
    </xf>
    <xf numFmtId="1" fontId="12" fillId="0" borderId="0" xfId="0" applyNumberFormat="1" applyFont="1" applyAlignment="1" applyProtection="1">
      <alignment horizontal="center"/>
      <protection locked="0"/>
    </xf>
    <xf numFmtId="0" fontId="3" fillId="0" borderId="0" xfId="0" applyFont="1" applyFill="1" applyAlignment="1" applyProtection="1">
      <alignment horizontal="center"/>
      <protection locked="0"/>
    </xf>
    <xf numFmtId="167" fontId="12" fillId="0" borderId="0" xfId="0" applyNumberFormat="1" applyFont="1" applyProtection="1">
      <protection locked="0"/>
    </xf>
    <xf numFmtId="0" fontId="17" fillId="0" borderId="0" xfId="0" applyFont="1" applyAlignment="1" applyProtection="1">
      <alignment horizontal="left"/>
      <protection locked="0"/>
    </xf>
    <xf numFmtId="0" fontId="13" fillId="0" borderId="13" xfId="1" applyFont="1" applyBorder="1" applyAlignment="1" applyProtection="1">
      <protection locked="0"/>
    </xf>
    <xf numFmtId="0" fontId="12" fillId="0" borderId="0" xfId="0" applyFont="1" applyAlignment="1" applyProtection="1">
      <alignment horizontal="left" indent="12"/>
    </xf>
    <xf numFmtId="0" fontId="12" fillId="0" borderId="0" xfId="0" applyFont="1" applyAlignment="1" applyProtection="1">
      <alignment horizontal="left" indent="13"/>
    </xf>
    <xf numFmtId="0" fontId="12" fillId="0" borderId="22" xfId="0" applyFont="1" applyBorder="1" applyAlignment="1" applyProtection="1">
      <alignment horizontal="left" indent="12"/>
    </xf>
    <xf numFmtId="0" fontId="13" fillId="5" borderId="23" xfId="1" applyFont="1" applyFill="1" applyBorder="1" applyAlignment="1" applyProtection="1">
      <alignment horizontal="center" wrapText="1"/>
    </xf>
    <xf numFmtId="0" fontId="13" fillId="5" borderId="24" xfId="1" applyFont="1" applyFill="1" applyBorder="1" applyAlignment="1" applyProtection="1">
      <alignment horizontal="center" wrapText="1"/>
    </xf>
    <xf numFmtId="0" fontId="13" fillId="5" borderId="25" xfId="1" applyFont="1" applyFill="1" applyBorder="1" applyAlignment="1" applyProtection="1">
      <alignment horizontal="center" wrapText="1"/>
    </xf>
    <xf numFmtId="0" fontId="13" fillId="5" borderId="26" xfId="1" applyFont="1" applyFill="1" applyBorder="1" applyAlignment="1" applyProtection="1">
      <alignment horizontal="center" wrapText="1"/>
    </xf>
    <xf numFmtId="0" fontId="12" fillId="5" borderId="26" xfId="0" applyFont="1" applyFill="1" applyBorder="1" applyAlignment="1" applyProtection="1">
      <alignment horizontal="center" wrapText="1"/>
    </xf>
    <xf numFmtId="0" fontId="13" fillId="5" borderId="27" xfId="1" applyFont="1" applyFill="1" applyBorder="1" applyAlignment="1" applyProtection="1">
      <alignment horizontal="center" wrapText="1"/>
    </xf>
    <xf numFmtId="0" fontId="12" fillId="5" borderId="28" xfId="0" applyFont="1" applyFill="1" applyBorder="1" applyAlignment="1" applyProtection="1">
      <alignment horizontal="center" wrapText="1"/>
    </xf>
    <xf numFmtId="0" fontId="13" fillId="5" borderId="29" xfId="1" applyFont="1" applyFill="1" applyBorder="1" applyAlignment="1" applyProtection="1">
      <alignment horizontal="center" wrapText="1"/>
    </xf>
    <xf numFmtId="0" fontId="13" fillId="5" borderId="30" xfId="1" applyFont="1" applyFill="1" applyBorder="1" applyAlignment="1" applyProtection="1">
      <alignment horizontal="center" wrapText="1"/>
    </xf>
    <xf numFmtId="0" fontId="12" fillId="5" borderId="31" xfId="0" applyFont="1" applyFill="1" applyBorder="1" applyAlignment="1" applyProtection="1">
      <alignment horizontal="center" wrapText="1"/>
    </xf>
    <xf numFmtId="0" fontId="27" fillId="5" borderId="31" xfId="0" applyFont="1" applyFill="1" applyBorder="1" applyAlignment="1" applyProtection="1">
      <alignment horizontal="center" wrapText="1"/>
    </xf>
    <xf numFmtId="0" fontId="12" fillId="5" borderId="32" xfId="0" applyFont="1" applyFill="1" applyBorder="1" applyAlignment="1" applyProtection="1">
      <alignment horizontal="center" wrapText="1"/>
    </xf>
    <xf numFmtId="0" fontId="13" fillId="5" borderId="33" xfId="1" applyFont="1" applyFill="1" applyBorder="1" applyAlignment="1" applyProtection="1">
      <alignment horizontal="center" wrapText="1"/>
    </xf>
    <xf numFmtId="0" fontId="13" fillId="5" borderId="34" xfId="1" applyFont="1" applyFill="1" applyBorder="1" applyAlignment="1" applyProtection="1">
      <alignment horizontal="center" wrapText="1"/>
    </xf>
    <xf numFmtId="0" fontId="27" fillId="5" borderId="32" xfId="0" applyFont="1" applyFill="1" applyBorder="1" applyAlignment="1" applyProtection="1">
      <alignment horizontal="center" wrapText="1"/>
    </xf>
    <xf numFmtId="0" fontId="12" fillId="5" borderId="35" xfId="0" applyFont="1" applyFill="1" applyBorder="1" applyAlignment="1" applyProtection="1">
      <alignment horizontal="center" wrapText="1"/>
    </xf>
    <xf numFmtId="0" fontId="12" fillId="5" borderId="36" xfId="0" applyFont="1" applyFill="1" applyBorder="1" applyAlignment="1" applyProtection="1">
      <alignment horizontal="center" wrapText="1"/>
    </xf>
    <xf numFmtId="0" fontId="27" fillId="5" borderId="37" xfId="0" applyFont="1" applyFill="1" applyBorder="1" applyAlignment="1" applyProtection="1">
      <alignment horizontal="center" wrapText="1"/>
    </xf>
    <xf numFmtId="0" fontId="12" fillId="5" borderId="37" xfId="0" applyFont="1" applyFill="1" applyBorder="1" applyAlignment="1" applyProtection="1">
      <alignment horizontal="center" wrapText="1"/>
    </xf>
    <xf numFmtId="0" fontId="27" fillId="5" borderId="38" xfId="0" applyFont="1" applyFill="1" applyBorder="1" applyAlignment="1" applyProtection="1">
      <alignment horizontal="center" wrapText="1"/>
    </xf>
    <xf numFmtId="0" fontId="12" fillId="0" borderId="3" xfId="0" applyFont="1" applyBorder="1" applyAlignment="1" applyProtection="1">
      <alignment horizontal="center" wrapText="1"/>
    </xf>
    <xf numFmtId="0" fontId="12" fillId="0" borderId="4" xfId="0" applyFont="1" applyBorder="1" applyAlignment="1" applyProtection="1">
      <alignment horizontal="center" wrapText="1"/>
    </xf>
    <xf numFmtId="0" fontId="12" fillId="0" borderId="5" xfId="0" applyFont="1" applyBorder="1" applyAlignment="1" applyProtection="1">
      <alignment horizontal="center" wrapText="1"/>
    </xf>
    <xf numFmtId="0" fontId="12" fillId="0" borderId="6"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8" xfId="0" applyFont="1" applyBorder="1" applyAlignment="1" applyProtection="1">
      <alignment horizontal="center" wrapText="1"/>
    </xf>
    <xf numFmtId="0" fontId="25" fillId="0" borderId="0" xfId="0" applyFont="1" applyAlignment="1" applyProtection="1">
      <alignment horizontal="left" indent="12"/>
    </xf>
    <xf numFmtId="0" fontId="12" fillId="0" borderId="0" xfId="0" applyFont="1" applyBorder="1" applyAlignment="1" applyProtection="1">
      <alignment wrapText="1"/>
    </xf>
    <xf numFmtId="0" fontId="12" fillId="0" borderId="0" xfId="0" applyFont="1" applyBorder="1" applyAlignment="1">
      <alignment wrapText="1"/>
    </xf>
    <xf numFmtId="3" fontId="12" fillId="0" borderId="0" xfId="0" applyNumberFormat="1" applyFont="1" applyBorder="1" applyAlignment="1">
      <alignment wrapText="1"/>
    </xf>
    <xf numFmtId="1" fontId="3" fillId="0" borderId="0" xfId="0" applyNumberFormat="1" applyFont="1" applyBorder="1" applyAlignment="1" applyProtection="1">
      <alignment horizontal="center"/>
      <protection locked="0"/>
    </xf>
    <xf numFmtId="0" fontId="5" fillId="0" borderId="11" xfId="0" applyFont="1" applyBorder="1" applyAlignment="1" applyProtection="1">
      <alignment horizontal="center"/>
      <protection locked="0"/>
    </xf>
    <xf numFmtId="0" fontId="5" fillId="0" borderId="10" xfId="0" applyFont="1" applyBorder="1" applyAlignment="1">
      <alignment horizontal="center"/>
    </xf>
    <xf numFmtId="0" fontId="5" fillId="0" borderId="0" xfId="0" applyFont="1" applyAlignment="1">
      <alignment horizontal="right"/>
    </xf>
    <xf numFmtId="0" fontId="30" fillId="0" borderId="0" xfId="0" applyFont="1"/>
    <xf numFmtId="168" fontId="3" fillId="9" borderId="11" xfId="3" applyNumberFormat="1" applyFont="1" applyFill="1" applyBorder="1" applyAlignment="1">
      <alignment horizontal="left"/>
    </xf>
    <xf numFmtId="1" fontId="3" fillId="9" borderId="11" xfId="0" applyNumberFormat="1" applyFont="1" applyFill="1" applyBorder="1" applyAlignment="1">
      <alignment horizontal="left"/>
    </xf>
    <xf numFmtId="168" fontId="3" fillId="9" borderId="11" xfId="3" applyNumberFormat="1" applyFont="1" applyFill="1" applyBorder="1" applyAlignment="1" applyProtection="1">
      <alignment horizontal="left"/>
    </xf>
    <xf numFmtId="167" fontId="3" fillId="8" borderId="0" xfId="3" applyNumberFormat="1" applyFont="1" applyFill="1" applyBorder="1" applyAlignment="1" applyProtection="1">
      <alignment horizontal="left"/>
      <protection locked="0"/>
    </xf>
    <xf numFmtId="169" fontId="12" fillId="0" borderId="0" xfId="0" applyNumberFormat="1" applyFont="1" applyAlignment="1" applyProtection="1">
      <alignment horizontal="center"/>
      <protection locked="0"/>
    </xf>
    <xf numFmtId="0" fontId="3" fillId="0" borderId="0" xfId="0" applyFont="1" applyBorder="1" applyAlignment="1">
      <alignment horizontal="center" vertical="center" wrapText="1"/>
    </xf>
    <xf numFmtId="0" fontId="3" fillId="0" borderId="0" xfId="0" applyFont="1" applyBorder="1" applyAlignment="1" applyProtection="1">
      <alignment horizontal="center" vertical="center" wrapText="1"/>
    </xf>
    <xf numFmtId="3" fontId="12" fillId="0" borderId="0" xfId="0" applyNumberFormat="1" applyFont="1" applyBorder="1" applyAlignment="1" applyProtection="1">
      <alignment horizontal="left"/>
      <protection locked="0"/>
    </xf>
    <xf numFmtId="170" fontId="12" fillId="0" borderId="0" xfId="0" applyNumberFormat="1" applyFont="1" applyBorder="1" applyAlignment="1" applyProtection="1">
      <alignment horizontal="left"/>
      <protection locked="0"/>
    </xf>
    <xf numFmtId="166" fontId="3" fillId="0" borderId="0" xfId="0" applyNumberFormat="1" applyFont="1" applyBorder="1" applyAlignment="1" applyProtection="1">
      <protection locked="0"/>
    </xf>
    <xf numFmtId="0" fontId="5" fillId="0" borderId="13" xfId="0" applyFont="1" applyBorder="1" applyAlignment="1" applyProtection="1">
      <protection locked="0"/>
    </xf>
    <xf numFmtId="0" fontId="5" fillId="0" borderId="13" xfId="0" applyFont="1" applyBorder="1" applyAlignment="1" applyProtection="1">
      <alignment horizontal="left"/>
      <protection locked="0"/>
    </xf>
    <xf numFmtId="0" fontId="20" fillId="0" borderId="0" xfId="0" quotePrefix="1" applyFont="1" applyBorder="1" applyProtection="1">
      <protection locked="0"/>
    </xf>
    <xf numFmtId="0" fontId="20" fillId="0" borderId="11" xfId="0" applyFont="1" applyBorder="1" applyAlignment="1" applyProtection="1">
      <alignment horizontal="left"/>
    </xf>
    <xf numFmtId="0" fontId="8" fillId="0" borderId="0" xfId="0" applyFont="1" applyBorder="1" applyAlignment="1" applyProtection="1">
      <alignment horizontal="center"/>
    </xf>
    <xf numFmtId="167" fontId="12" fillId="0" borderId="0" xfId="0" quotePrefix="1" applyNumberFormat="1" applyFont="1" applyBorder="1" applyAlignment="1" applyProtection="1">
      <alignment horizontal="left"/>
    </xf>
    <xf numFmtId="1" fontId="12" fillId="0" borderId="0" xfId="0" applyNumberFormat="1" applyFont="1" applyBorder="1" applyAlignment="1" applyProtection="1">
      <alignment horizontal="left"/>
      <protection locked="0"/>
    </xf>
    <xf numFmtId="0" fontId="12" fillId="0" borderId="0" xfId="0" quotePrefix="1" applyFont="1" applyBorder="1" applyProtection="1"/>
    <xf numFmtId="166" fontId="3" fillId="0" borderId="0" xfId="0" applyNumberFormat="1" applyFont="1" applyBorder="1" applyAlignment="1" applyProtection="1">
      <alignment horizontal="left"/>
    </xf>
    <xf numFmtId="0" fontId="5" fillId="0" borderId="0" xfId="0" applyFont="1" applyBorder="1" applyAlignment="1" applyProtection="1">
      <alignment horizontal="left"/>
    </xf>
    <xf numFmtId="169" fontId="3" fillId="0" borderId="0" xfId="0" applyNumberFormat="1" applyFont="1" applyBorder="1" applyAlignment="1">
      <alignment horizontal="left"/>
    </xf>
    <xf numFmtId="169" fontId="3" fillId="0" borderId="0" xfId="0" applyNumberFormat="1" applyFont="1" applyBorder="1" applyAlignment="1" applyProtection="1">
      <alignment horizontal="left"/>
    </xf>
    <xf numFmtId="0" fontId="3" fillId="0" borderId="0" xfId="0" quotePrefix="1" applyFont="1" applyBorder="1" applyAlignment="1" applyProtection="1">
      <alignment horizontal="left"/>
    </xf>
    <xf numFmtId="167" fontId="3" fillId="0" borderId="0" xfId="0" applyNumberFormat="1" applyFont="1" applyBorder="1" applyAlignment="1" applyProtection="1">
      <alignment horizontal="left"/>
    </xf>
    <xf numFmtId="0" fontId="3" fillId="0" borderId="0" xfId="0" quotePrefix="1" applyFont="1" applyBorder="1" applyAlignment="1">
      <alignment horizontal="left"/>
    </xf>
    <xf numFmtId="0" fontId="12" fillId="8" borderId="0" xfId="0" applyFont="1" applyFill="1" applyBorder="1"/>
    <xf numFmtId="167" fontId="12" fillId="8" borderId="0" xfId="0" applyNumberFormat="1" applyFont="1" applyFill="1" applyBorder="1"/>
    <xf numFmtId="0" fontId="3" fillId="8" borderId="0" xfId="0" applyFont="1" applyFill="1" applyBorder="1" applyAlignment="1">
      <alignment horizontal="center"/>
    </xf>
    <xf numFmtId="2" fontId="3" fillId="8" borderId="0" xfId="0" applyNumberFormat="1" applyFont="1" applyFill="1" applyBorder="1" applyAlignment="1">
      <alignment horizontal="center"/>
    </xf>
    <xf numFmtId="166" fontId="3" fillId="8" borderId="0" xfId="0" applyNumberFormat="1" applyFont="1" applyFill="1" applyBorder="1" applyAlignment="1">
      <alignment horizontal="center"/>
    </xf>
    <xf numFmtId="0" fontId="3" fillId="8" borderId="0" xfId="0" applyFont="1" applyFill="1" applyBorder="1" applyAlignment="1">
      <alignment horizontal="right"/>
    </xf>
    <xf numFmtId="0" fontId="3" fillId="8" borderId="0" xfId="0" quotePrefix="1" applyFont="1" applyFill="1" applyBorder="1" applyAlignment="1">
      <alignment horizontal="left"/>
    </xf>
    <xf numFmtId="169" fontId="3" fillId="8" borderId="0" xfId="0" applyNumberFormat="1"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14" fillId="0" borderId="0" xfId="0" applyFont="1" applyBorder="1" applyAlignment="1" applyProtection="1">
      <alignment horizontal="left"/>
    </xf>
    <xf numFmtId="0" fontId="5" fillId="0" borderId="0" xfId="0" applyFont="1" applyBorder="1" applyAlignment="1">
      <alignment horizontal="left"/>
    </xf>
    <xf numFmtId="168" fontId="3" fillId="8" borderId="0" xfId="3" applyNumberFormat="1" applyFont="1" applyFill="1" applyBorder="1" applyAlignment="1" applyProtection="1">
      <alignment horizontal="left"/>
    </xf>
    <xf numFmtId="167" fontId="12" fillId="0" borderId="0" xfId="0" quotePrefix="1" applyNumberFormat="1" applyFont="1" applyBorder="1" applyAlignment="1">
      <alignment horizontal="left"/>
    </xf>
    <xf numFmtId="0" fontId="8" fillId="0" borderId="0" xfId="0" applyFont="1" applyBorder="1" applyAlignment="1" applyProtection="1">
      <alignment horizontal="center"/>
      <protection locked="0"/>
    </xf>
    <xf numFmtId="0" fontId="12" fillId="0" borderId="0" xfId="0" quotePrefix="1" applyFont="1" applyBorder="1"/>
    <xf numFmtId="166" fontId="3" fillId="0" borderId="0" xfId="0" applyNumberFormat="1" applyFont="1" applyBorder="1" applyAlignment="1">
      <alignment horizontal="left"/>
    </xf>
    <xf numFmtId="1" fontId="12" fillId="0" borderId="14" xfId="0" applyNumberFormat="1" applyFont="1" applyBorder="1" applyAlignment="1" applyProtection="1">
      <alignment horizontal="left"/>
      <protection locked="0"/>
    </xf>
    <xf numFmtId="0" fontId="12" fillId="0" borderId="0" xfId="0" applyFont="1" applyBorder="1" applyAlignment="1" applyProtection="1">
      <alignment horizontal="center"/>
    </xf>
    <xf numFmtId="0" fontId="5"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11" fontId="12" fillId="0" borderId="0" xfId="0" applyNumberFormat="1" applyFont="1" applyBorder="1" applyAlignment="1" applyProtection="1">
      <alignment horizontal="center"/>
      <protection locked="0"/>
    </xf>
    <xf numFmtId="167" fontId="12" fillId="0" borderId="0" xfId="0" applyNumberFormat="1" applyFont="1" applyBorder="1" applyAlignment="1" applyProtection="1">
      <alignment horizontal="center"/>
      <protection locked="0"/>
    </xf>
  </cellXfs>
  <cellStyles count="4">
    <cellStyle name="Hyperlink" xfId="1" builtinId="8"/>
    <cellStyle name="Normal" xfId="0" builtinId="0"/>
    <cellStyle name="Normal_ENTHALPY" xfId="2" xr:uid="{00000000-0005-0000-0000-00000200000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jpeg"/><Relationship Id="rId21" Type="http://schemas.openxmlformats.org/officeDocument/2006/relationships/image" Target="../media/image38.png"/><Relationship Id="rId7" Type="http://schemas.openxmlformats.org/officeDocument/2006/relationships/image" Target="../media/image24.jpe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9.jpeg"/><Relationship Id="rId6" Type="http://schemas.openxmlformats.org/officeDocument/2006/relationships/image" Target="../media/image23.jpe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19" Type="http://schemas.openxmlformats.org/officeDocument/2006/relationships/image" Target="../media/image36.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1.jpe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40.jpe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9.jpeg"/><Relationship Id="rId6" Type="http://schemas.openxmlformats.org/officeDocument/2006/relationships/image" Target="../media/image16.jpe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3.jpe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2.jpe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 Id="rId27" Type="http://schemas.openxmlformats.org/officeDocument/2006/relationships/image" Target="../media/image6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15.jpeg"/><Relationship Id="rId4" Type="http://schemas.openxmlformats.org/officeDocument/2006/relationships/image" Target="../media/image6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jpeg"/><Relationship Id="rId1" Type="http://schemas.openxmlformats.org/officeDocument/2006/relationships/image" Target="../media/image68.jpeg"/><Relationship Id="rId4" Type="http://schemas.openxmlformats.org/officeDocument/2006/relationships/image" Target="../media/image7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3.jpe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image" Target="../media/image74.jpg"/><Relationship Id="rId7" Type="http://schemas.openxmlformats.org/officeDocument/2006/relationships/image" Target="../media/image78.jpg"/><Relationship Id="rId2" Type="http://schemas.openxmlformats.org/officeDocument/2006/relationships/image" Target="../media/image73.tif"/><Relationship Id="rId1" Type="http://schemas.openxmlformats.org/officeDocument/2006/relationships/image" Target="../media/image72.tif"/><Relationship Id="rId6" Type="http://schemas.openxmlformats.org/officeDocument/2006/relationships/image" Target="../media/image77.jpg"/><Relationship Id="rId5" Type="http://schemas.openxmlformats.org/officeDocument/2006/relationships/image" Target="../media/image76.jpg"/><Relationship Id="rId4" Type="http://schemas.openxmlformats.org/officeDocument/2006/relationships/image" Target="../media/image75.jpg"/></Relationships>
</file>

<file path=xl/drawings/drawing1.xml><?xml version="1.0" encoding="utf-8"?>
<xdr:wsDr xmlns:xdr="http://schemas.openxmlformats.org/drawingml/2006/spreadsheetDrawing" xmlns:a="http://schemas.openxmlformats.org/drawingml/2006/main">
  <xdr:twoCellAnchor editAs="oneCell">
    <xdr:from>
      <xdr:col>1</xdr:col>
      <xdr:colOff>571500</xdr:colOff>
      <xdr:row>348</xdr:row>
      <xdr:rowOff>95250</xdr:rowOff>
    </xdr:from>
    <xdr:to>
      <xdr:col>5</xdr:col>
      <xdr:colOff>304800</xdr:colOff>
      <xdr:row>364</xdr:row>
      <xdr:rowOff>133350</xdr:rowOff>
    </xdr:to>
    <xdr:pic>
      <xdr:nvPicPr>
        <xdr:cNvPr id="31650" name="Picture 1" descr="NUCLEAR POWER-1">
          <a:extLst>
            <a:ext uri="{FF2B5EF4-FFF2-40B4-BE49-F238E27FC236}">
              <a16:creationId xmlns:a16="http://schemas.microsoft.com/office/drawing/2014/main" id="{BBCA161A-3BB8-6454-D286-D0711D1C6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68608575"/>
          <a:ext cx="42672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368</xdr:row>
      <xdr:rowOff>9525</xdr:rowOff>
    </xdr:from>
    <xdr:to>
      <xdr:col>5</xdr:col>
      <xdr:colOff>838200</xdr:colOff>
      <xdr:row>389</xdr:row>
      <xdr:rowOff>104775</xdr:rowOff>
    </xdr:to>
    <xdr:pic>
      <xdr:nvPicPr>
        <xdr:cNvPr id="31651" name="Picture 3" descr="STEAM TURBINE-1">
          <a:extLst>
            <a:ext uri="{FF2B5EF4-FFF2-40B4-BE49-F238E27FC236}">
              <a16:creationId xmlns:a16="http://schemas.microsoft.com/office/drawing/2014/main" id="{43DC22CA-A1A5-DC0D-55DD-B4F37BCAB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72551925"/>
          <a:ext cx="507682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422</xdr:row>
      <xdr:rowOff>104775</xdr:rowOff>
    </xdr:from>
    <xdr:to>
      <xdr:col>5</xdr:col>
      <xdr:colOff>361950</xdr:colOff>
      <xdr:row>436</xdr:row>
      <xdr:rowOff>190500</xdr:rowOff>
    </xdr:to>
    <xdr:pic>
      <xdr:nvPicPr>
        <xdr:cNvPr id="31652" name="Picture 4" descr="DIESEL ENGINE-1">
          <a:extLst>
            <a:ext uri="{FF2B5EF4-FFF2-40B4-BE49-F238E27FC236}">
              <a16:creationId xmlns:a16="http://schemas.microsoft.com/office/drawing/2014/main" id="{E819186C-E1ED-7261-B446-7278F27C9A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83505675"/>
          <a:ext cx="4819650"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73025</xdr:colOff>
      <xdr:row>451</xdr:row>
      <xdr:rowOff>142875</xdr:rowOff>
    </xdr:from>
    <xdr:to>
      <xdr:col>4</xdr:col>
      <xdr:colOff>911225</xdr:colOff>
      <xdr:row>472</xdr:row>
      <xdr:rowOff>123825</xdr:rowOff>
    </xdr:to>
    <xdr:pic>
      <xdr:nvPicPr>
        <xdr:cNvPr id="31653" name="Picture 7" descr="GASOLINE ENGINE-1">
          <a:extLst>
            <a:ext uri="{FF2B5EF4-FFF2-40B4-BE49-F238E27FC236}">
              <a16:creationId xmlns:a16="http://schemas.microsoft.com/office/drawing/2014/main" id="{E580076C-9DDA-8F31-CE85-A6A279CD09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225" y="89119075"/>
          <a:ext cx="3937000" cy="411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484</xdr:row>
      <xdr:rowOff>28575</xdr:rowOff>
    </xdr:from>
    <xdr:to>
      <xdr:col>5</xdr:col>
      <xdr:colOff>447675</xdr:colOff>
      <xdr:row>503</xdr:row>
      <xdr:rowOff>76200</xdr:rowOff>
    </xdr:to>
    <xdr:pic>
      <xdr:nvPicPr>
        <xdr:cNvPr id="31654" name="Picture 14" descr="RANKINE CYCLE WIK-1">
          <a:extLst>
            <a:ext uri="{FF2B5EF4-FFF2-40B4-BE49-F238E27FC236}">
              <a16:creationId xmlns:a16="http://schemas.microsoft.com/office/drawing/2014/main" id="{9595FD64-659F-CBD5-A3E4-A5D8589E3CC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0" y="95831025"/>
          <a:ext cx="4752975"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571</xdr:row>
      <xdr:rowOff>152400</xdr:rowOff>
    </xdr:from>
    <xdr:to>
      <xdr:col>5</xdr:col>
      <xdr:colOff>708050</xdr:colOff>
      <xdr:row>575</xdr:row>
      <xdr:rowOff>133350</xdr:rowOff>
    </xdr:to>
    <xdr:sp macro="" textlink="">
      <xdr:nvSpPr>
        <xdr:cNvPr id="2345" name="Text Box 16">
          <a:extLst>
            <a:ext uri="{FF2B5EF4-FFF2-40B4-BE49-F238E27FC236}">
              <a16:creationId xmlns:a16="http://schemas.microsoft.com/office/drawing/2014/main" id="{B6BB664F-C9B0-C2AC-BC8D-3D0435C87330}"/>
            </a:ext>
          </a:extLst>
        </xdr:cNvPr>
        <xdr:cNvSpPr txBox="1">
          <a:spLocks noChangeArrowheads="1"/>
        </xdr:cNvSpPr>
      </xdr:nvSpPr>
      <xdr:spPr bwMode="auto">
        <a:xfrm>
          <a:off x="409575" y="131806950"/>
          <a:ext cx="4838700"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Properties of Saturated Steam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Saturated Steam Table with steam properties as specific volume, density, specific enthalpy and specific entropy.</a:t>
          </a:r>
        </a:p>
      </xdr:txBody>
    </xdr:sp>
    <xdr:clientData/>
  </xdr:twoCellAnchor>
  <xdr:twoCellAnchor editAs="oneCell">
    <xdr:from>
      <xdr:col>1</xdr:col>
      <xdr:colOff>390525</xdr:colOff>
      <xdr:row>576</xdr:row>
      <xdr:rowOff>66675</xdr:rowOff>
    </xdr:from>
    <xdr:to>
      <xdr:col>5</xdr:col>
      <xdr:colOff>762000</xdr:colOff>
      <xdr:row>604</xdr:row>
      <xdr:rowOff>104775</xdr:rowOff>
    </xdr:to>
    <xdr:pic>
      <xdr:nvPicPr>
        <xdr:cNvPr id="31656" name="Picture 17" descr="ENTHALPY GRAPH-1">
          <a:extLst>
            <a:ext uri="{FF2B5EF4-FFF2-40B4-BE49-F238E27FC236}">
              <a16:creationId xmlns:a16="http://schemas.microsoft.com/office/drawing/2014/main" id="{BCFE79D4-182B-2267-A183-12EC0C9286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114271425"/>
          <a:ext cx="4905375" cy="563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1066800</xdr:colOff>
      <xdr:row>551</xdr:row>
      <xdr:rowOff>38100</xdr:rowOff>
    </xdr:from>
    <xdr:to>
      <xdr:col>5</xdr:col>
      <xdr:colOff>609600</xdr:colOff>
      <xdr:row>566</xdr:row>
      <xdr:rowOff>190500</xdr:rowOff>
    </xdr:to>
    <xdr:pic>
      <xdr:nvPicPr>
        <xdr:cNvPr id="31657" name="Picture 18" descr="Vapor Dome with Isobars">
          <a:extLst>
            <a:ext uri="{FF2B5EF4-FFF2-40B4-BE49-F238E27FC236}">
              <a16:creationId xmlns:a16="http://schemas.microsoft.com/office/drawing/2014/main" id="{D3579DF2-2735-D96C-C9A7-564CFFEF11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04950" y="109242225"/>
          <a:ext cx="4076700"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168275</xdr:colOff>
      <xdr:row>646</xdr:row>
      <xdr:rowOff>114300</xdr:rowOff>
    </xdr:from>
    <xdr:to>
      <xdr:col>5</xdr:col>
      <xdr:colOff>679411</xdr:colOff>
      <xdr:row>677</xdr:row>
      <xdr:rowOff>28575</xdr:rowOff>
    </xdr:to>
    <xdr:sp macro="" textlink="">
      <xdr:nvSpPr>
        <xdr:cNvPr id="2348" name="Text Box 300">
          <a:extLst>
            <a:ext uri="{FF2B5EF4-FFF2-40B4-BE49-F238E27FC236}">
              <a16:creationId xmlns:a16="http://schemas.microsoft.com/office/drawing/2014/main" id="{CC647D8F-93BC-6B75-09B6-788DD61B49D9}"/>
            </a:ext>
          </a:extLst>
        </xdr:cNvPr>
        <xdr:cNvSpPr txBox="1">
          <a:spLocks noChangeArrowheads="1"/>
        </xdr:cNvSpPr>
      </xdr:nvSpPr>
      <xdr:spPr bwMode="auto">
        <a:xfrm>
          <a:off x="171450" y="143922750"/>
          <a:ext cx="5038725" cy="4933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Stoker Boiler 65 T/H, 2.5 mPa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Boiler Specifications:</a:t>
          </a:r>
        </a:p>
        <a:p>
          <a:pPr algn="l" rtl="0">
            <a:defRPr sz="1000"/>
          </a:pPr>
          <a:r>
            <a:rPr lang="en-US" sz="1000" b="0" i="0" u="none" strike="noStrike" baseline="0">
              <a:solidFill>
                <a:srgbClr val="000000"/>
              </a:solidFill>
              <a:latin typeface="Arial"/>
              <a:cs typeface="Arial"/>
            </a:rPr>
            <a:t>Rated Steam Generated: 65 t/h</a:t>
          </a:r>
        </a:p>
        <a:p>
          <a:pPr algn="l" rtl="0">
            <a:defRPr sz="1000"/>
          </a:pPr>
          <a:r>
            <a:rPr lang="en-US" sz="1000" b="0" i="0" u="none" strike="noStrike" baseline="0">
              <a:solidFill>
                <a:srgbClr val="000000"/>
              </a:solidFill>
              <a:latin typeface="Arial"/>
              <a:cs typeface="Arial"/>
            </a:rPr>
            <a:t>Rated Steam Pressure: 2.5 MPa</a:t>
          </a:r>
        </a:p>
        <a:p>
          <a:pPr algn="l" rtl="0">
            <a:defRPr sz="1000"/>
          </a:pPr>
          <a:r>
            <a:rPr lang="en-US" sz="1000" b="0" i="0" u="none" strike="noStrike" baseline="0">
              <a:solidFill>
                <a:srgbClr val="000000"/>
              </a:solidFill>
              <a:latin typeface="Arial"/>
              <a:cs typeface="Arial"/>
            </a:rPr>
            <a:t>Rated Steam Temp: Saturated</a:t>
          </a:r>
        </a:p>
        <a:p>
          <a:pPr algn="l" rtl="0">
            <a:defRPr sz="1000"/>
          </a:pPr>
          <a:r>
            <a:rPr lang="en-US" sz="1000" b="0" i="0" u="none" strike="noStrike" baseline="0">
              <a:solidFill>
                <a:srgbClr val="000000"/>
              </a:solidFill>
              <a:latin typeface="Arial"/>
              <a:cs typeface="Arial"/>
            </a:rPr>
            <a:t>Feed Water Temp: 105 deg C</a:t>
          </a:r>
        </a:p>
        <a:p>
          <a:pPr algn="l" rtl="0">
            <a:defRPr sz="1000"/>
          </a:pPr>
          <a:r>
            <a:rPr lang="en-US" sz="1000" b="0" i="0" u="none" strike="noStrike" baseline="0">
              <a:solidFill>
                <a:srgbClr val="000000"/>
              </a:solidFill>
              <a:latin typeface="Arial"/>
              <a:cs typeface="Arial"/>
            </a:rPr>
            <a:t>Hot Air Temp: 136 deg C</a:t>
          </a:r>
        </a:p>
        <a:p>
          <a:pPr algn="l" rtl="0">
            <a:defRPr sz="1000"/>
          </a:pPr>
          <a:r>
            <a:rPr lang="en-US" sz="1000" b="0" i="0" u="none" strike="noStrike" baseline="0">
              <a:solidFill>
                <a:srgbClr val="000000"/>
              </a:solidFill>
              <a:latin typeface="Arial"/>
              <a:cs typeface="Arial"/>
            </a:rPr>
            <a:t>Cold Air Temp: 20 deg C</a:t>
          </a:r>
        </a:p>
        <a:p>
          <a:pPr algn="l" rtl="0">
            <a:defRPr sz="1000"/>
          </a:pPr>
          <a:r>
            <a:rPr lang="en-US" sz="1000" b="0" i="0" u="none" strike="noStrike" baseline="0">
              <a:solidFill>
                <a:srgbClr val="000000"/>
              </a:solidFill>
              <a:latin typeface="Arial"/>
              <a:cs typeface="Arial"/>
            </a:rPr>
            <a:t>Designed Coal: Bituminous Class II</a:t>
          </a:r>
        </a:p>
        <a:p>
          <a:pPr algn="l" rtl="0">
            <a:defRPr sz="1000"/>
          </a:pPr>
          <a:r>
            <a:rPr lang="en-US" sz="1000" b="0" i="0" u="none" strike="noStrike" baseline="0">
              <a:solidFill>
                <a:srgbClr val="000000"/>
              </a:solidFill>
              <a:latin typeface="Arial"/>
              <a:cs typeface="Arial"/>
            </a:rPr>
            <a:t>Designed Efficiency: &gt;80%</a:t>
          </a:r>
        </a:p>
        <a:p>
          <a:pPr algn="l" rtl="0">
            <a:defRPr sz="1000"/>
          </a:pPr>
          <a:r>
            <a:rPr lang="en-US" sz="1000" b="0" i="0" u="none" strike="noStrike" baseline="0">
              <a:solidFill>
                <a:srgbClr val="000000"/>
              </a:solidFill>
              <a:latin typeface="Arial"/>
              <a:cs typeface="Arial"/>
            </a:rPr>
            <a:t>Flue Gas Exit Temp: 156 deg C</a:t>
          </a:r>
        </a:p>
        <a:p>
          <a:pPr algn="l" rtl="0">
            <a:defRPr sz="1000"/>
          </a:pPr>
          <a:r>
            <a:rPr lang="en-US" sz="1000" b="0" i="0" u="none" strike="noStrike" baseline="0">
              <a:solidFill>
                <a:srgbClr val="000000"/>
              </a:solidFill>
              <a:latin typeface="Arial"/>
              <a:cs typeface="Arial"/>
            </a:rPr>
            <a:t>Hydraulic Testing Pressure: 3.125 MPa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Boiler in this series is a single drum, natural circulation, water-tube boiler. It adopts a </a:t>
          </a:r>
          <a:r>
            <a:rPr lang="az-Cyrl-AZ" sz="1000" b="0" i="0" u="none" strike="noStrike" baseline="0">
              <a:solidFill>
                <a:srgbClr val="000000"/>
              </a:solidFill>
              <a:latin typeface="Arial"/>
              <a:cs typeface="Arial"/>
            </a:rPr>
            <a:t>П </a:t>
          </a:r>
          <a:r>
            <a:rPr lang="en-US" sz="1000" b="0" i="0" u="none" strike="noStrike" baseline="0">
              <a:solidFill>
                <a:srgbClr val="000000"/>
              </a:solidFill>
              <a:latin typeface="Arial"/>
              <a:cs typeface="Arial"/>
            </a:rPr>
            <a:t>arrangement, with the water wall separated into multiple independent circulating loops which are in a precise location, ensuring water circulation is safe and remains unobstructed. As a result, the furnace contains two arches; the front arch is a tall arch, while the rear arch is lower and longer. The boiler can create strong turbulence at the throat to form a gas eddy which facilitates the ignition of the fuel and ensures a complete burn. A staged coal feeder is included. Optimum ventilation is maintained in the coal layer on the grate. This is beneficial for complete coal combustion and enhances combustion efficiency, which in turn reduces the carbon content in ash and prevents slag.</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See full size image:</a:t>
          </a:r>
        </a:p>
        <a:p>
          <a:pPr algn="l" rtl="0">
            <a:defRPr sz="1000"/>
          </a:pPr>
          <a:r>
            <a:rPr lang="en-US" sz="1000" b="0" i="0" u="none" strike="noStrike" baseline="0">
              <a:solidFill>
                <a:srgbClr val="000000"/>
              </a:solidFill>
              <a:latin typeface="Arial"/>
              <a:cs typeface="Arial"/>
            </a:rPr>
            <a:t>465 x 629 - 228k - jpg - sonichorns.com/images/Boilers/Stoker/shl65-25.jpg</a:t>
          </a:r>
        </a:p>
        <a:p>
          <a:pPr algn="l" rtl="0">
            <a:defRPr sz="1000"/>
          </a:pPr>
          <a:r>
            <a:rPr lang="en-US" sz="1000" b="0" i="0" u="none" strike="noStrike" baseline="0">
              <a:solidFill>
                <a:srgbClr val="000000"/>
              </a:solidFill>
              <a:latin typeface="Arial"/>
              <a:cs typeface="Arial"/>
            </a:rPr>
            <a:t>Image may be subject to copyright.</a:t>
          </a:r>
        </a:p>
        <a:p>
          <a:pPr algn="l" rtl="0">
            <a:defRPr sz="1000"/>
          </a:pPr>
          <a:r>
            <a:rPr lang="en-US" sz="1000" b="0" i="0" u="none" strike="noStrike" baseline="0">
              <a:solidFill>
                <a:srgbClr val="000000"/>
              </a:solidFill>
              <a:latin typeface="Arial"/>
              <a:cs typeface="Arial"/>
            </a:rPr>
            <a:t>Below is the image at: sonichorns.com/products/sb_65t_25.html</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723900</xdr:colOff>
      <xdr:row>612</xdr:row>
      <xdr:rowOff>95250</xdr:rowOff>
    </xdr:from>
    <xdr:to>
      <xdr:col>5</xdr:col>
      <xdr:colOff>38100</xdr:colOff>
      <xdr:row>640</xdr:row>
      <xdr:rowOff>95250</xdr:rowOff>
    </xdr:to>
    <xdr:pic>
      <xdr:nvPicPr>
        <xdr:cNvPr id="31659" name="Picture 301" descr="Stoker Boiler-1">
          <a:extLst>
            <a:ext uri="{FF2B5EF4-FFF2-40B4-BE49-F238E27FC236}">
              <a16:creationId xmlns:a16="http://schemas.microsoft.com/office/drawing/2014/main" id="{A3D8D9BB-FEDB-C083-0D9E-90D454CE3E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62050" y="121500900"/>
          <a:ext cx="3848100" cy="560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520700</xdr:colOff>
      <xdr:row>350</xdr:row>
      <xdr:rowOff>57151</xdr:rowOff>
    </xdr:from>
    <xdr:to>
      <xdr:col>9</xdr:col>
      <xdr:colOff>495300</xdr:colOff>
      <xdr:row>361</xdr:row>
      <xdr:rowOff>187326</xdr:rowOff>
    </xdr:to>
    <xdr:sp macro="" textlink="">
      <xdr:nvSpPr>
        <xdr:cNvPr id="2350" name="Text Box 302">
          <a:extLst>
            <a:ext uri="{FF2B5EF4-FFF2-40B4-BE49-F238E27FC236}">
              <a16:creationId xmlns:a16="http://schemas.microsoft.com/office/drawing/2014/main" id="{05B7826A-AB90-C6CF-66A7-1D5F53298CC7}"/>
            </a:ext>
          </a:extLst>
        </xdr:cNvPr>
        <xdr:cNvSpPr txBox="1">
          <a:spLocks noChangeArrowheads="1"/>
        </xdr:cNvSpPr>
      </xdr:nvSpPr>
      <xdr:spPr bwMode="auto">
        <a:xfrm>
          <a:off x="5492750" y="68989576"/>
          <a:ext cx="4746625" cy="2330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Nuclear Power</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"Nuclear power is power (generally electrical) produced from controlled (ie, non-explosive) nuclear reactions. Commercial plants in use to date use nuclear fission reactions. Electric utility reactors heat water to produce steam, which is then used to generate electricity. In 2007, 14% of the world's electricity came from nuclear power, despite concerns about safety and radioactive waste management. More than 150 naval vessels using nuclear propulsion have been built."</a:t>
          </a:r>
        </a:p>
        <a:p>
          <a:pPr algn="l" rtl="0">
            <a:defRPr sz="1000"/>
          </a:pPr>
          <a:r>
            <a:rPr lang="en-US" sz="1200" b="0" i="0" u="none" strike="noStrike" baseline="0">
              <a:solidFill>
                <a:srgbClr val="000000"/>
              </a:solidFill>
              <a:latin typeface="Arial"/>
              <a:cs typeface="Arial"/>
            </a:rPr>
            <a:t> Wikipedia</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158750</xdr:colOff>
      <xdr:row>367</xdr:row>
      <xdr:rowOff>187325</xdr:rowOff>
    </xdr:from>
    <xdr:to>
      <xdr:col>9</xdr:col>
      <xdr:colOff>520700</xdr:colOff>
      <xdr:row>389</xdr:row>
      <xdr:rowOff>101600</xdr:rowOff>
    </xdr:to>
    <xdr:sp macro="" textlink="">
      <xdr:nvSpPr>
        <xdr:cNvPr id="2351" name="Text Box 303">
          <a:extLst>
            <a:ext uri="{FF2B5EF4-FFF2-40B4-BE49-F238E27FC236}">
              <a16:creationId xmlns:a16="http://schemas.microsoft.com/office/drawing/2014/main" id="{E2644375-2185-236A-B3B7-D3EE2AF50FCB}"/>
            </a:ext>
          </a:extLst>
        </xdr:cNvPr>
        <xdr:cNvSpPr txBox="1">
          <a:spLocks noChangeArrowheads="1"/>
        </xdr:cNvSpPr>
      </xdr:nvSpPr>
      <xdr:spPr bwMode="auto">
        <a:xfrm>
          <a:off x="6388100" y="72564625"/>
          <a:ext cx="4330700" cy="42449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Steam Turbine</a:t>
          </a:r>
          <a:r>
            <a:rPr lang="en-US" sz="1400" b="0" i="0" u="none" strike="noStrike" baseline="0">
              <a:solidFill>
                <a:srgbClr val="000000"/>
              </a:solidFill>
              <a:latin typeface="Arial"/>
              <a:cs typeface="Arial"/>
            </a:rPr>
            <a: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steam turbine is a mechanical device that extracts thermal energy from pressurized steam, and converts it into rotary motion. Its modern manifestation was invented by Sir Charles Parsons in 1884.</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It has almost completely replaced the reciprocating piston steam engine (invented by Thomas Newcomen and greatly improved by James Watt) primarily because of its greater thermal efficiency and higher power-to-weight ratio.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Because the turbine generates rotary motion, it is particularly suited to be used to drive an electrical generator – about 80% of all electricity generation in the world is by use of steam turbines.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steam turbine is a form of heat engine that derives much of its improvement in thermodynamic efficiency through the use of multiple stages in the expansion of the steam, which results in a closer approach to the ideal reversible process." Wikipedia</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5</xdr:col>
      <xdr:colOff>974725</xdr:colOff>
      <xdr:row>417</xdr:row>
      <xdr:rowOff>139700</xdr:rowOff>
    </xdr:from>
    <xdr:to>
      <xdr:col>8</xdr:col>
      <xdr:colOff>1790700</xdr:colOff>
      <xdr:row>448</xdr:row>
      <xdr:rowOff>114300</xdr:rowOff>
    </xdr:to>
    <xdr:sp macro="" textlink="">
      <xdr:nvSpPr>
        <xdr:cNvPr id="2352" name="Text Box 304">
          <a:extLst>
            <a:ext uri="{FF2B5EF4-FFF2-40B4-BE49-F238E27FC236}">
              <a16:creationId xmlns:a16="http://schemas.microsoft.com/office/drawing/2014/main" id="{C7D46E20-FA41-7601-7A86-ADF74AEA2F4F}"/>
            </a:ext>
          </a:extLst>
        </xdr:cNvPr>
        <xdr:cNvSpPr txBox="1">
          <a:spLocks noChangeArrowheads="1"/>
        </xdr:cNvSpPr>
      </xdr:nvSpPr>
      <xdr:spPr bwMode="auto">
        <a:xfrm>
          <a:off x="6175375" y="82391250"/>
          <a:ext cx="3997325" cy="61087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Diesel Engine</a:t>
          </a:r>
        </a:p>
        <a:p>
          <a:pPr algn="l"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diesel engine is an internal combustion engine that uses the heat of compression to initiate ignition to burn the fuel, which is injected into the combustion chamber during the final stage of compression.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is in contrast to a petrol engine (known as a gasoline engine in North America) or gas engine, which uses the Otto cycle, in which a fuel/air mixture is ignited by a spark plug.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It operates using the diesel cycle (named after Dr. Rudolf Diesel). Diesel engines have the highest thermal efficiency of any internal or external combustion engine, because of their compression ratio. Low-speed engines diesel engines thermal efficiency exceeds 50%.</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Diesel engines are manufactured in two stroke and four stroke versions. They were originally used as a more efficient replacement for stationary steam engines. Since the 1910s they have been used in submarines and ships.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in locomotives, large trucks and electric generating plants followed later. In the 1930s, they slowly began to be used in a few automobiles. Since the 1970s, the use of diesel engines in larger on-road and off-road vehicles in the USA increased.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of 2007, about 50 percent of all new car sales in Europe are diesel." Wikipedia</a:t>
          </a:r>
        </a:p>
        <a:p>
          <a:pPr algn="l" rtl="0">
            <a:defRPr sz="1000"/>
          </a:pPr>
          <a:endParaRPr lang="en-US" sz="14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50800</xdr:colOff>
      <xdr:row>450</xdr:row>
      <xdr:rowOff>158749</xdr:rowOff>
    </xdr:from>
    <xdr:to>
      <xdr:col>11</xdr:col>
      <xdr:colOff>57150</xdr:colOff>
      <xdr:row>475</xdr:row>
      <xdr:rowOff>139718</xdr:rowOff>
    </xdr:to>
    <xdr:sp macro="" textlink="">
      <xdr:nvSpPr>
        <xdr:cNvPr id="2353" name="Text Box 305">
          <a:extLst>
            <a:ext uri="{FF2B5EF4-FFF2-40B4-BE49-F238E27FC236}">
              <a16:creationId xmlns:a16="http://schemas.microsoft.com/office/drawing/2014/main" id="{DD9F2829-8262-813E-ACF7-51EBA2C3E3D9}"/>
            </a:ext>
          </a:extLst>
        </xdr:cNvPr>
        <xdr:cNvSpPr txBox="1">
          <a:spLocks noChangeArrowheads="1"/>
        </xdr:cNvSpPr>
      </xdr:nvSpPr>
      <xdr:spPr bwMode="auto">
        <a:xfrm>
          <a:off x="6280150" y="88938099"/>
          <a:ext cx="5378450" cy="4902219"/>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Gasoline Engine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petrol engine (known as a gasoline engine in North America) is an internal combustion engine with spark-ignition, designed to run on petrol (gasoline) and similar volatile fuels.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C-Crank, E-Exhaust cam, I-Intake cam, P-Piston, R-Rod, V-Valves, W-Water cooling.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It differs from a diesel engine in the method of mixing the fuel and air, and in the fact that it uses spark plugs to initiate the combustion process. In a diesel engine, only air is compressed (and therefore heated), and the fuel is injected into the now very hot air at the end of the compression stroke, and self-ignites. In a petrol engine, the fuel and air are usually pre-mixed before compression (although some modern petrol engines now utilize cylinder-direct petrol injection).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pre-mixing was formerly done in a carburetor, but now (except in the smallest engines) it is done by electronically-controlled fuel injection.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Pre-mixing of fuel and air allows a petrol engine to run at a much higher speed than a diesel, but severely limits their compression, and thus efficiency.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first fast-running petrol engine was invented by the German automobile pioneer Gottlieb Daimler.  Wikipedia</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5</xdr:col>
      <xdr:colOff>749301</xdr:colOff>
      <xdr:row>477</xdr:row>
      <xdr:rowOff>69850</xdr:rowOff>
    </xdr:from>
    <xdr:to>
      <xdr:col>11</xdr:col>
      <xdr:colOff>438151</xdr:colOff>
      <xdr:row>512</xdr:row>
      <xdr:rowOff>31750</xdr:rowOff>
    </xdr:to>
    <xdr:sp macro="" textlink="">
      <xdr:nvSpPr>
        <xdr:cNvPr id="2354" name="Text Box 306">
          <a:extLst>
            <a:ext uri="{FF2B5EF4-FFF2-40B4-BE49-F238E27FC236}">
              <a16:creationId xmlns:a16="http://schemas.microsoft.com/office/drawing/2014/main" id="{2CBD5D4F-1EBB-BFD4-A0F2-12965B553E90}"/>
            </a:ext>
          </a:extLst>
        </xdr:cNvPr>
        <xdr:cNvSpPr txBox="1">
          <a:spLocks noChangeArrowheads="1"/>
        </xdr:cNvSpPr>
      </xdr:nvSpPr>
      <xdr:spPr bwMode="auto">
        <a:xfrm>
          <a:off x="5949951" y="94164150"/>
          <a:ext cx="6089650" cy="68516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Rankin Cycle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Rankin cycle is a thermodynamic cycle which converts heat into work.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heat is supplied externally to a closed loop, which usually uses steam as the working fluid.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cycle generates about 80% of all electric power used throughout the world including virtually all solar thermal, biomass, coal and nuclear power plants. </a:t>
          </a:r>
        </a:p>
        <a:p>
          <a:pPr algn="l" rtl="0">
            <a:defRPr sz="1000"/>
          </a:pPr>
          <a:endParaRPr lang="en-US" sz="1200" b="0" i="0" u="none" strike="noStrike" baseline="0">
            <a:solidFill>
              <a:srgbClr val="000000"/>
            </a:solidFill>
            <a:latin typeface="Arial"/>
            <a:cs typeface="Arial"/>
          </a:endParaRPr>
        </a:p>
        <a:p>
          <a:pPr rtl="0"/>
          <a:r>
            <a:rPr lang="en-US" sz="1200" b="0" i="0" u="none" strike="noStrike" baseline="0">
              <a:solidFill>
                <a:srgbClr val="000000"/>
              </a:solidFill>
              <a:latin typeface="Arial" panose="020B0604020202020204" pitchFamily="34" charset="0"/>
              <a:cs typeface="Arial" panose="020B0604020202020204" pitchFamily="34" charset="0"/>
            </a:rPr>
            <a:t>It is named after William John Macquorn Rankin, a Scottish polymath.</a:t>
          </a:r>
          <a:r>
            <a:rPr lang="en-US" sz="1200" b="0" i="0" baseline="0">
              <a:effectLst/>
              <a:latin typeface="Arial" panose="020B0604020202020204" pitchFamily="34" charset="0"/>
              <a:ea typeface="+mn-ea"/>
              <a:cs typeface="Arial" panose="020B0604020202020204" pitchFamily="34" charset="0"/>
            </a:rPr>
            <a:t>There are four processes in the Rankin cycle, these states are identified by number in the diagram to the right.</a:t>
          </a:r>
        </a:p>
        <a:p>
          <a:pPr rtl="0"/>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Process 1-2: The working fluid is pumped from low to high pressure, as the fluid is a liquid at this stage the pump requires little input energy. </a:t>
          </a:r>
        </a:p>
        <a:p>
          <a:pPr rtl="0"/>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Process 2-3: The high pressure liquid enters a boiler where it is heated at constant pressure by an external heat source to become a dry saturated vapor.</a:t>
          </a:r>
        </a:p>
        <a:p>
          <a:pPr rtl="0"/>
          <a:r>
            <a:rPr lang="en-US" sz="1200" b="0" i="0" baseline="0">
              <a:effectLst/>
              <a:latin typeface="Arial" panose="020B0604020202020204" pitchFamily="34" charset="0"/>
              <a:ea typeface="+mn-ea"/>
              <a:cs typeface="Arial" panose="020B0604020202020204" pitchFamily="34" charset="0"/>
            </a:rPr>
            <a:t> </a:t>
          </a:r>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Process 3-4: The dry saturated vapor expands through a turbine, generating power. This decreases the temperature and pressure of the vapor, and some condensation may occur. </a:t>
          </a:r>
          <a:endParaRPr lang="en-US" sz="1200">
            <a:effectLst/>
            <a:latin typeface="Arial" panose="020B0604020202020204" pitchFamily="34" charset="0"/>
            <a:cs typeface="Arial" panose="020B0604020202020204" pitchFamily="34" charset="0"/>
          </a:endParaRPr>
        </a:p>
        <a:p>
          <a:pPr rtl="0"/>
          <a:endParaRPr lang="en-US" sz="1200" b="0" i="0" baseline="0">
            <a:effectLst/>
            <a:latin typeface="Arial" panose="020B0604020202020204" pitchFamily="34" charset="0"/>
            <a:ea typeface="+mn-ea"/>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Process 4-1: The wet vapor then enters a condenser where it is condensed at a constant pressure and temperature to become a saturated liquid. The pressure and temperature of the condenser is fixed by the temperature of the cooling coils as the fluid is undergoing a phase-change. </a:t>
          </a:r>
        </a:p>
        <a:p>
          <a:pPr rtl="0"/>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In an ideal Rankin cycle the pump and turbine would be isentropic, i.e., the pump and turbine would generate no entropy and hence maximize the net work output. </a:t>
          </a:r>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Processes 1-2 and 3-4 would be represented by vertical lines on the Ts diagram and more closely resemble that of the Carnot cycle. </a:t>
          </a:r>
        </a:p>
        <a:p>
          <a:pPr rtl="0"/>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The Rankin cycle shown here prevents the vapor ending up in the superheat region after the expansion in the turbine which reduces the energy removed by the condensers.</a:t>
          </a:r>
          <a:endParaRPr lang="en-US" sz="1200">
            <a:effectLst/>
            <a:latin typeface="Arial" panose="020B0604020202020204" pitchFamily="34" charset="0"/>
            <a:cs typeface="Arial" panose="020B0604020202020204" pitchFamily="34" charset="0"/>
          </a:endParaRP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1</xdr:col>
      <xdr:colOff>533400</xdr:colOff>
      <xdr:row>394</xdr:row>
      <xdr:rowOff>19050</xdr:rowOff>
    </xdr:from>
    <xdr:to>
      <xdr:col>6</xdr:col>
      <xdr:colOff>123825</xdr:colOff>
      <xdr:row>414</xdr:row>
      <xdr:rowOff>123825</xdr:rowOff>
    </xdr:to>
    <xdr:pic>
      <xdr:nvPicPr>
        <xdr:cNvPr id="31665" name="Picture 311" descr="STEAM BOILER-1">
          <a:extLst>
            <a:ext uri="{FF2B5EF4-FFF2-40B4-BE49-F238E27FC236}">
              <a16:creationId xmlns:a16="http://schemas.microsoft.com/office/drawing/2014/main" id="{D1A601C6-29F1-EC45-04C7-B466B5389F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1550" y="77790675"/>
          <a:ext cx="5105400"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361950</xdr:colOff>
      <xdr:row>314</xdr:row>
      <xdr:rowOff>0</xdr:rowOff>
    </xdr:from>
    <xdr:to>
      <xdr:col>13</xdr:col>
      <xdr:colOff>8</xdr:colOff>
      <xdr:row>341</xdr:row>
      <xdr:rowOff>0</xdr:rowOff>
    </xdr:to>
    <xdr:sp macro="" textlink="">
      <xdr:nvSpPr>
        <xdr:cNvPr id="2361" name="Text Box 313">
          <a:extLst>
            <a:ext uri="{FF2B5EF4-FFF2-40B4-BE49-F238E27FC236}">
              <a16:creationId xmlns:a16="http://schemas.microsoft.com/office/drawing/2014/main" id="{5D8E2365-386C-8A5C-B85F-A6EEDA32E4BC}"/>
            </a:ext>
          </a:extLst>
        </xdr:cNvPr>
        <xdr:cNvSpPr txBox="1">
          <a:spLocks noChangeArrowheads="1"/>
        </xdr:cNvSpPr>
      </xdr:nvSpPr>
      <xdr:spPr bwMode="auto">
        <a:xfrm>
          <a:off x="6591300" y="61880750"/>
          <a:ext cx="6515108" cy="5314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AUTOMOTIVE FUEL ECONOMY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"An interesting example of European cars' capabilities of fuel economy is the microcar </a:t>
          </a:r>
          <a:r>
            <a:rPr lang="en-US" sz="1200" b="1" i="0" u="none" strike="noStrike" baseline="0">
              <a:solidFill>
                <a:srgbClr val="000000"/>
              </a:solidFill>
              <a:latin typeface="Arial"/>
              <a:cs typeface="Arial"/>
            </a:rPr>
            <a:t>Smart Fortwo </a:t>
          </a:r>
          <a:r>
            <a:rPr lang="en-US" sz="1200" b="0" i="0" u="none" strike="noStrike" baseline="0">
              <a:solidFill>
                <a:srgbClr val="000000"/>
              </a:solidFill>
              <a:latin typeface="Arial"/>
              <a:cs typeface="Arial"/>
            </a:rPr>
            <a:t>cdi, which can achieve up to 3.4 l/100 km (69.2 mpg US) using a turbocharged three-cylinder 41 bhp (30 kW) Diesel engine.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Fortwo is produced by Daimler AG and is currently only sold by one company in the United States.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Furthermore, the current (and to date already 10 year old) world record in fuel economy of production cars is held by the Volkswagen Group, with special production models (labeled "3L") of the Volkswagen Lupo and the Audi A2, consuming (NEDC ratified) as little as 2.99 liters of diesel fuel per 100 kilometers (78 miles per US gallon or 94 miles per Imperial gallon).</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Diesel engines generally achieve greater fuel efficiency than petrol (gasoline) engines. Diesel engines have energy efficiency of 45% and gasoline engines of 30%. That is one of the reasons why diesels have better fuel efficiency than equivalent petrol cars. </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 common margin is 40% more miles per gallon for an efficient turbo diesel. </a:t>
          </a:r>
          <a:r>
            <a:rPr lang="en-US" sz="1200" b="0" i="0" u="none" strike="noStrike" baseline="0">
              <a:solidFill>
                <a:srgbClr val="000000"/>
              </a:solidFill>
              <a:latin typeface="Arial"/>
              <a:cs typeface="Arial"/>
            </a:rPr>
            <a:t>For example, the current model Skoda Octavia, using Volkswagen engines, has a combined European fuel efficiency of 38.2 mpg for the 102 bhp (76 kW) petrol engine and 53.3 mpg for the 105 bhp (78 kW) — and heavier — diesel engine.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higher compression ratio is helpful in raising the energy efficiency, but diesel fuel also contains approximately 10-20% more energy per unit volume than gasoline which contributes to the reduced fuel consumption for a given power output." Wikapedia </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3</xdr:col>
      <xdr:colOff>542925</xdr:colOff>
      <xdr:row>312</xdr:row>
      <xdr:rowOff>38100</xdr:rowOff>
    </xdr:from>
    <xdr:to>
      <xdr:col>6</xdr:col>
      <xdr:colOff>247650</xdr:colOff>
      <xdr:row>339</xdr:row>
      <xdr:rowOff>133350</xdr:rowOff>
    </xdr:to>
    <xdr:pic>
      <xdr:nvPicPr>
        <xdr:cNvPr id="31667" name="Picture 314" descr="SMALL CAR-1">
          <a:extLst>
            <a:ext uri="{FF2B5EF4-FFF2-40B4-BE49-F238E27FC236}">
              <a16:creationId xmlns:a16="http://schemas.microsoft.com/office/drawing/2014/main" id="{59D77CC6-F507-ADD2-78FE-13F0964C193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19425" y="61321950"/>
          <a:ext cx="3181350" cy="549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59</xdr:row>
      <xdr:rowOff>47625</xdr:rowOff>
    </xdr:from>
    <xdr:to>
      <xdr:col>6</xdr:col>
      <xdr:colOff>28575</xdr:colOff>
      <xdr:row>72</xdr:row>
      <xdr:rowOff>114300</xdr:rowOff>
    </xdr:to>
    <xdr:sp macro="" textlink="">
      <xdr:nvSpPr>
        <xdr:cNvPr id="2363" name="Text Box 315">
          <a:extLst>
            <a:ext uri="{FF2B5EF4-FFF2-40B4-BE49-F238E27FC236}">
              <a16:creationId xmlns:a16="http://schemas.microsoft.com/office/drawing/2014/main" id="{FDE37349-A1AC-BC5A-F51E-D9C8854B0AB3}"/>
            </a:ext>
          </a:extLst>
        </xdr:cNvPr>
        <xdr:cNvSpPr txBox="1">
          <a:spLocks noChangeArrowheads="1"/>
        </xdr:cNvSpPr>
      </xdr:nvSpPr>
      <xdr:spPr bwMode="auto">
        <a:xfrm>
          <a:off x="466725" y="9772650"/>
          <a:ext cx="5076825" cy="21717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lnSpc>
              <a:spcPts val="1300"/>
            </a:lnSpc>
            <a:defRPr sz="1000"/>
          </a:pPr>
          <a:endParaRPr lang="en-US" sz="1200" b="1" i="0" u="none" strike="noStrike" baseline="0">
            <a:solidFill>
              <a:srgbClr val="000000"/>
            </a:solidFill>
            <a:latin typeface="Arial"/>
            <a:cs typeface="Arial"/>
          </a:endParaRPr>
        </a:p>
        <a:p>
          <a:pPr algn="ctr" rtl="0">
            <a:lnSpc>
              <a:spcPts val="1500"/>
            </a:lnSpc>
            <a:defRPr sz="1000"/>
          </a:pPr>
          <a:r>
            <a:rPr lang="en-US" sz="1400" b="1" i="0" u="none" strike="noStrike" baseline="0">
              <a:solidFill>
                <a:srgbClr val="000000"/>
              </a:solidFill>
              <a:latin typeface="Arial"/>
              <a:cs typeface="Arial"/>
            </a:rPr>
            <a:t>Isentropic Process</a:t>
          </a:r>
          <a:endParaRPr lang="en-US" sz="14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thermodynamics, an isentropic process or isentropic process is one during which the entropy of the system remains constant.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It can be proved that any reversible adiabatic process is an isentropic process.</a:t>
          </a:r>
        </a:p>
        <a:p>
          <a:pPr algn="l" rtl="0">
            <a:lnSpc>
              <a:spcPts val="1300"/>
            </a:lnSpc>
            <a:defRPr sz="1000"/>
          </a:pPr>
          <a:endParaRPr lang="en-US" sz="1200" b="0" i="0" u="none" strike="noStrike" baseline="0">
            <a:solidFill>
              <a:srgbClr val="000000"/>
            </a:solidFill>
            <a:latin typeface="Arial"/>
            <a:cs typeface="Arial"/>
          </a:endParaRPr>
        </a:p>
        <a:p>
          <a:pPr algn="ctr" rtl="0">
            <a:lnSpc>
              <a:spcPts val="1300"/>
            </a:lnSpc>
            <a:defRPr sz="1000"/>
          </a:pPr>
          <a:r>
            <a:rPr lang="en-US" sz="1200" b="1" i="0" u="none" strike="noStrike" baseline="0">
              <a:solidFill>
                <a:srgbClr val="000000"/>
              </a:solidFill>
              <a:latin typeface="Arial"/>
              <a:cs typeface="Arial"/>
            </a:rPr>
            <a:t>Air Standard Carnot Cycle</a:t>
          </a: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1" i="0" u="none" strike="noStrike" baseline="0">
              <a:solidFill>
                <a:srgbClr val="000000"/>
              </a:solidFill>
              <a:latin typeface="Arial"/>
              <a:cs typeface="Arial"/>
            </a:rPr>
            <a:t>Isentropic Pressure Ratio: </a:t>
          </a:r>
          <a:r>
            <a:rPr lang="en-US" sz="1200" b="0" i="0" u="none" strike="noStrike" baseline="0">
              <a:solidFill>
                <a:srgbClr val="000000"/>
              </a:solidFill>
              <a:latin typeface="Arial"/>
              <a:cs typeface="Arial"/>
            </a:rPr>
            <a:t>for the air standard Carnot cycle illustrated below is a ratio of </a:t>
          </a:r>
          <a:r>
            <a:rPr lang="en-US" sz="1200" b="1" i="0" u="none" strike="noStrike" baseline="0">
              <a:solidFill>
                <a:srgbClr val="000000"/>
              </a:solidFill>
              <a:latin typeface="Arial"/>
              <a:cs typeface="Arial"/>
            </a:rPr>
            <a:t>pressures</a:t>
          </a:r>
          <a:r>
            <a:rPr lang="en-US" sz="1200" b="0" i="0" u="none" strike="noStrike" baseline="0">
              <a:solidFill>
                <a:srgbClr val="000000"/>
              </a:solidFill>
              <a:latin typeface="Arial"/>
              <a:cs typeface="Arial"/>
            </a:rPr>
            <a:t>:</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Pr or rp,s = PB/PA = PC/PD = (TD/TC)^(1/(1-k))</a:t>
          </a:r>
          <a:endParaRPr lang="en-US" sz="1200" b="0" i="0" u="none" strike="noStrike" baseline="0">
            <a:solidFill>
              <a:srgbClr val="000000"/>
            </a:solidFill>
            <a:latin typeface="Arial"/>
            <a:cs typeface="Arial"/>
          </a:endParaRPr>
        </a:p>
        <a:p>
          <a:pPr algn="l" rtl="0">
            <a:lnSpc>
              <a:spcPts val="1200"/>
            </a:lnSpc>
            <a:defRPr sz="1000"/>
          </a:pPr>
          <a:endParaRPr lang="en-US" sz="12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381000</xdr:colOff>
      <xdr:row>73</xdr:row>
      <xdr:rowOff>180975</xdr:rowOff>
    </xdr:from>
    <xdr:to>
      <xdr:col>5</xdr:col>
      <xdr:colOff>657225</xdr:colOff>
      <xdr:row>87</xdr:row>
      <xdr:rowOff>152400</xdr:rowOff>
    </xdr:to>
    <xdr:pic>
      <xdr:nvPicPr>
        <xdr:cNvPr id="31669" name="Picture 316" descr="Air  Standard  Carnot  Cycle-1">
          <a:extLst>
            <a:ext uri="{FF2B5EF4-FFF2-40B4-BE49-F238E27FC236}">
              <a16:creationId xmlns:a16="http://schemas.microsoft.com/office/drawing/2014/main" id="{4457CDCD-E655-5E18-D81B-5A291E82F1D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9150" y="14754225"/>
          <a:ext cx="481012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473075</xdr:colOff>
      <xdr:row>88</xdr:row>
      <xdr:rowOff>190501</xdr:rowOff>
    </xdr:from>
    <xdr:to>
      <xdr:col>5</xdr:col>
      <xdr:colOff>977900</xdr:colOff>
      <xdr:row>146</xdr:row>
      <xdr:rowOff>114301</xdr:rowOff>
    </xdr:to>
    <xdr:sp macro="" textlink="">
      <xdr:nvSpPr>
        <xdr:cNvPr id="2365" name="Text Box 317">
          <a:extLst>
            <a:ext uri="{FF2B5EF4-FFF2-40B4-BE49-F238E27FC236}">
              <a16:creationId xmlns:a16="http://schemas.microsoft.com/office/drawing/2014/main" id="{9A5A3721-7E40-1FAC-38AA-8A351B214632}"/>
            </a:ext>
          </a:extLst>
        </xdr:cNvPr>
        <xdr:cNvSpPr txBox="1">
          <a:spLocks noChangeArrowheads="1"/>
        </xdr:cNvSpPr>
      </xdr:nvSpPr>
      <xdr:spPr bwMode="auto">
        <a:xfrm>
          <a:off x="949325" y="17519651"/>
          <a:ext cx="5276850" cy="11341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Isentropic Pressure Ratio</a:t>
          </a:r>
        </a:p>
        <a:p>
          <a:pPr algn="l"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For reciprocating engines and compressors illustrated below is a ratio of </a:t>
          </a:r>
          <a:r>
            <a:rPr lang="en-US" sz="1200" b="1" i="0" u="none" strike="noStrike" baseline="0">
              <a:solidFill>
                <a:srgbClr val="000000"/>
              </a:solidFill>
              <a:latin typeface="Arial"/>
              <a:cs typeface="Arial"/>
            </a:rPr>
            <a:t>volumes</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Vr or rv,s = VA/VB = VD/VC = (TD/TC)^(1/(1-k))</a:t>
          </a:r>
        </a:p>
        <a:p>
          <a:pPr algn="ctr" rtl="0">
            <a:defRPr sz="1000"/>
          </a:pPr>
          <a:endParaRPr lang="en-US" sz="14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Pressure, Temperature, and Volume Calculations</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At A:</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PA = PD*(VD/VA) = PB*(VB/VA)^k = PB*(TA/TB)^(k/(k-1)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TA = TD = TB*(VB/VA)^(k-1) =TB*(PA/PB)^((k-1)/k)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VA = VD*(PD/PA) = VB*(PB/PA)^(1/k) = VB*(TB/TA)^(1/(k-1))</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At 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PB = PA*(VA/V)^k = PA*(TB/TA)^(k/(k-1) = PC*(VC/VB)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TB = TD = TB*(VB/VA)^(k-1) =TB*(PA/PB)^((k-1)/k)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VB = VA*(PA/PB)^(1/k) = VA*(TA/TB)^(1/(k-1)) = VC*(PC/PB)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At C:</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PC = PB*(VB/VC)  =  PD*(VD/VC)^k = PD*(TC/TD)^(k/(k-1)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TC = TB = TD*(VD/VC)^(k-1) =TD*(PC/PD)^((k-1)/k)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VB = VB*(PB/PC) = VD*(PD/PC)^(1/k) = VD*(TD/C)^(1/(k-1))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At D:</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PD =  PC*(VC/VD)^k  = PC*(TD/TC)^(k/(k-1) = PA*(VA/VD)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TD = TA = TC*(VC/VD)^(k-1) = TC*(PD/PC)^((k-1)/k)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VD = VC*(PC/PD)^(1/k) = VA*(PA/PD)  = VC*(TC/D)^(1/(k-1))  </a:t>
          </a:r>
        </a:p>
        <a:p>
          <a:pPr algn="l" rtl="0">
            <a:defRPr sz="1000"/>
          </a:pPr>
          <a:endParaRPr lang="en-US" sz="12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Work and Heat Flow Terms </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Qin,B-C = Thigh*(sC - sB) = PB*VB*Ln(VC/VB)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Qout,D-A = I Tlow*(sA - sD) I = I PD*VD*Ln(VA/VD)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Win = I cv*(TA - TB) I + TD*(sD - sA)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Wout = cv*(TC - TD) I + TB*(sC - sB)</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Air Standard Carnot Cycle Thermal Efficiency</a:t>
          </a:r>
        </a:p>
        <a:p>
          <a:pPr algn="l" rtl="0">
            <a:defRPr sz="1000"/>
          </a:pPr>
          <a:endParaRPr lang="en-US" sz="1200" b="0" i="0" u="none" strike="noStrike" baseline="0">
            <a:solidFill>
              <a:srgbClr val="000000"/>
            </a:solidFill>
            <a:latin typeface="Arial"/>
            <a:cs typeface="Arial"/>
          </a:endParaRPr>
        </a:p>
        <a:p>
          <a:pPr algn="l" rtl="0">
            <a:defRPr sz="1000"/>
          </a:pP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(Wout - Win) / Qin = (Qin - Qout) / Qin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or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(Thigh - Tlow) / Thigh = (TB - TA) / TB = (TC - TD) / TC</a:t>
          </a:r>
        </a:p>
        <a:p>
          <a:pPr algn="l" rtl="0">
            <a:defRPr sz="1000"/>
          </a:pPr>
          <a:endParaRPr lang="en-US" sz="12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Ideal Thermal Efficiency from Compression Ratio</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1 - rv.s^(1-k) =  1 - rp.s^((1-k)/k) </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149225</xdr:colOff>
      <xdr:row>313</xdr:row>
      <xdr:rowOff>155575</xdr:rowOff>
    </xdr:from>
    <xdr:to>
      <xdr:col>3</xdr:col>
      <xdr:colOff>231775</xdr:colOff>
      <xdr:row>341</xdr:row>
      <xdr:rowOff>12700</xdr:rowOff>
    </xdr:to>
    <xdr:sp macro="" textlink="">
      <xdr:nvSpPr>
        <xdr:cNvPr id="2366" name="Text Box 318">
          <a:extLst>
            <a:ext uri="{FF2B5EF4-FFF2-40B4-BE49-F238E27FC236}">
              <a16:creationId xmlns:a16="http://schemas.microsoft.com/office/drawing/2014/main" id="{8EBE255E-EB27-B0B8-8432-4A99E1825D3B}"/>
            </a:ext>
          </a:extLst>
        </xdr:cNvPr>
        <xdr:cNvSpPr txBox="1">
          <a:spLocks noChangeArrowheads="1"/>
        </xdr:cNvSpPr>
      </xdr:nvSpPr>
      <xdr:spPr bwMode="auto">
        <a:xfrm>
          <a:off x="606425" y="61839475"/>
          <a:ext cx="2216150" cy="5368925"/>
        </a:xfrm>
        <a:prstGeom prst="rect">
          <a:avLst/>
        </a:prstGeom>
        <a:solidFill>
          <a:srgbClr val="FFFFFF"/>
        </a:solidFill>
        <a:ln w="9525">
          <a:solidFill>
            <a:srgbClr val="000000"/>
          </a:solidFill>
          <a:miter lim="800000"/>
          <a:headEnd/>
          <a:tailEnd/>
        </a:ln>
      </xdr:spPr>
      <xdr:txBody>
        <a:bodyPr vertOverflow="clip" wrap="square" lIns="36576" tIns="27432" rIns="0" bIns="0" anchor="ctr"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Barrel of Crude Oil</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42-U.S. gallon barrel of crude oil provides slightly more than 44 gallons of petroleum products.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gain from processing the crude oil is similar to what happens to popcorn, which gets bigger after it's popped.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gain from processing is more than 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One barrel of crude oil, when refined, produces about 19 gallons of finished motor gasoline, and 10 gallons of diesel, as well as other petroleum products.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petroleum products are used to produce energy.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For instance, many people across the United States use propane to heat their homes.</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635000</xdr:colOff>
      <xdr:row>180</xdr:row>
      <xdr:rowOff>15875</xdr:rowOff>
    </xdr:from>
    <xdr:to>
      <xdr:col>5</xdr:col>
      <xdr:colOff>565150</xdr:colOff>
      <xdr:row>225</xdr:row>
      <xdr:rowOff>82550</xdr:rowOff>
    </xdr:to>
    <xdr:sp macro="" textlink="">
      <xdr:nvSpPr>
        <xdr:cNvPr id="2367" name="Text Box 319">
          <a:extLst>
            <a:ext uri="{FF2B5EF4-FFF2-40B4-BE49-F238E27FC236}">
              <a16:creationId xmlns:a16="http://schemas.microsoft.com/office/drawing/2014/main" id="{F5868488-E220-2E50-2FD1-4F0FBCBDDD40}"/>
            </a:ext>
          </a:extLst>
        </xdr:cNvPr>
        <xdr:cNvSpPr txBox="1">
          <a:spLocks noChangeArrowheads="1"/>
        </xdr:cNvSpPr>
      </xdr:nvSpPr>
      <xdr:spPr bwMode="auto">
        <a:xfrm>
          <a:off x="1092200" y="35506025"/>
          <a:ext cx="4673600" cy="89249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lnSpc>
              <a:spcPts val="1300"/>
            </a:lnSpc>
            <a:defRPr sz="1000"/>
          </a:pPr>
          <a:endParaRPr lang="en-US" sz="1200" b="1" i="0" u="none" strike="noStrike" baseline="0">
            <a:solidFill>
              <a:srgbClr val="000000"/>
            </a:solidFill>
            <a:latin typeface="Arial"/>
            <a:cs typeface="Arial"/>
          </a:endParaRPr>
        </a:p>
        <a:p>
          <a:pPr algn="ctr" rtl="0">
            <a:lnSpc>
              <a:spcPts val="1500"/>
            </a:lnSpc>
            <a:defRPr sz="1000"/>
          </a:pPr>
          <a:r>
            <a:rPr lang="en-US" sz="1400" b="1" i="0" u="none" strike="noStrike" baseline="0">
              <a:solidFill>
                <a:srgbClr val="000000"/>
              </a:solidFill>
              <a:latin typeface="Arial"/>
              <a:cs typeface="Arial"/>
            </a:rPr>
            <a:t>2. Rankine Cycle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Rankine cycle is a thermodynamic cycle which converts heat into work. The heat is supplied externally to a closed loop, which usually uses water (steam) as the working fluid.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1" i="0" u="none" strike="noStrike" baseline="0">
              <a:solidFill>
                <a:srgbClr val="000000"/>
              </a:solidFill>
              <a:latin typeface="Arial"/>
              <a:cs typeface="Arial"/>
            </a:rPr>
            <a:t>This cycle generates about 80% of all electric power used throughout the world including virtually all solar thermal, biomass, coal and nuclear power plants. It is named after William John Macquorn Rankine, a Scottish polymath</a:t>
          </a:r>
          <a:r>
            <a:rPr lang="en-US" sz="1200" b="0" i="0" u="none" strike="noStrike" baseline="0">
              <a:solidFill>
                <a:srgbClr val="000000"/>
              </a:solidFill>
              <a:latin typeface="Arial"/>
              <a:cs typeface="Arial"/>
            </a:rPr>
            <a:t>.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Rankine cycle describes a model of the operation of steam heat engines most commonly found in power generation plants. Common heat sources for power plants using the Rankine cycle are the combustion of coal, natural gas and oil, and nuclear fission.</a:t>
          </a:r>
        </a:p>
        <a:p>
          <a:pPr algn="l" rtl="0">
            <a:lnSpc>
              <a:spcPts val="12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The Rankine cycle is sometimes referred to as a practical Carnot cycle as, when an efficient turbine is used, the TS diagram begins to resemble the Carnot cycle. The main difference is that heat addition and rejection are isobaric in the Rankine cycle and isothermal in the theoretical Carnot cycle.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pump is used to pressurize liquid instead of gas. This requires about 1/100th (1%) as much energy as compressing a gas in a compressor (as in the Carnot cycle).</a:t>
          </a:r>
        </a:p>
        <a:p>
          <a:pPr algn="l" rtl="0">
            <a:lnSpc>
              <a:spcPts val="12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The efficiency of a Rankine cycle is usually limited by the working fluid. Without the pressure reaching super critical levels for the working fluid, the temperature range the cycle can operate over is quite small: turbine entry temperatures are typically 565°C (the creep limit of stainless steel) and condenser temperatures are around 30°C. This gives a theoretical Carnot efficiency of about 63% compared with an actual efficiency of 42% for a modern coal-fired power station. This low turbine entry temperature (compared with a gas turbine) is why the Rankine cycle is often used as a bottoming cycle in combined cycle gas turbine power stations." Wikipedia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2. Rankin Vapor Power Cycle with Superheat</a:t>
          </a:r>
        </a:p>
        <a:p>
          <a:pPr algn="l" rtl="0">
            <a:lnSpc>
              <a:spcPts val="1300"/>
            </a:lnSpc>
            <a:defRPr sz="1000"/>
          </a:pPr>
          <a:r>
            <a:rPr lang="en-US" sz="1200" b="0" i="0" u="none" strike="noStrike" baseline="0">
              <a:solidFill>
                <a:srgbClr val="000000"/>
              </a:solidFill>
              <a:latin typeface="Arial"/>
              <a:cs typeface="Arial"/>
            </a:rPr>
            <a:t>The steam boiler-turbine energy producing system above is described here.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F to A: Pump increases liquid water pressure to equal the boiler water pressure.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to B: Water is heated to boiler saturation pressure and temperature.</a:t>
          </a:r>
        </a:p>
        <a:p>
          <a:pPr algn="l" rtl="0">
            <a:lnSpc>
              <a:spcPts val="13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B to C: Water changes state to saturated steam vapor. </a:t>
          </a:r>
        </a:p>
        <a:p>
          <a:pPr algn="l" rtl="0">
            <a:lnSpc>
              <a:spcPts val="13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C to D: Superheating increases steam temperature and enthalpy,</a:t>
          </a:r>
        </a:p>
        <a:p>
          <a:pPr algn="l" rtl="0">
            <a:lnSpc>
              <a:spcPts val="1300"/>
            </a:lnSpc>
            <a:defRPr sz="1000"/>
          </a:pPr>
          <a:endParaRPr lang="en-US" sz="1200" b="0" i="0" u="none" strike="noStrike" baseline="0">
            <a:solidFill>
              <a:srgbClr val="000000"/>
            </a:solidFill>
            <a:latin typeface="Arial"/>
            <a:cs typeface="Arial"/>
          </a:endParaRPr>
        </a:p>
        <a:p>
          <a:pPr algn="l" rtl="0">
            <a:lnSpc>
              <a:spcPts val="1200"/>
            </a:lnSpc>
            <a:defRPr sz="1000"/>
          </a:pPr>
          <a:r>
            <a:rPr lang="en-US" sz="1200" b="0" i="0" u="none" strike="noStrike" baseline="0">
              <a:solidFill>
                <a:srgbClr val="000000"/>
              </a:solidFill>
              <a:latin typeface="Arial"/>
              <a:cs typeface="Arial"/>
            </a:rPr>
            <a:t>D to F: Steam vapor changes state to a liquid phase in the condenser.</a:t>
          </a:r>
        </a:p>
        <a:p>
          <a:pPr algn="l" rtl="0">
            <a:lnSpc>
              <a:spcPts val="1300"/>
            </a:lnSpc>
            <a:defRPr sz="1000"/>
          </a:pPr>
          <a:endParaRPr lang="en-US" sz="1200" b="0" i="0" u="none" strike="noStrike" baseline="0">
            <a:solidFill>
              <a:srgbClr val="000000"/>
            </a:solidFill>
            <a:latin typeface="Arial"/>
            <a:cs typeface="Arial"/>
          </a:endParaRPr>
        </a:p>
        <a:p>
          <a:pPr algn="l" rtl="0">
            <a:lnSpc>
              <a:spcPts val="1200"/>
            </a:lnSpc>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4</xdr:col>
      <xdr:colOff>638175</xdr:colOff>
      <xdr:row>4</xdr:row>
      <xdr:rowOff>76200</xdr:rowOff>
    </xdr:from>
    <xdr:to>
      <xdr:col>5</xdr:col>
      <xdr:colOff>847725</xdr:colOff>
      <xdr:row>15</xdr:row>
      <xdr:rowOff>133350</xdr:rowOff>
    </xdr:to>
    <xdr:pic>
      <xdr:nvPicPr>
        <xdr:cNvPr id="31673" name="Picture 32" descr="CYLINDER + PISTON-1">
          <a:extLst>
            <a:ext uri="{FF2B5EF4-FFF2-40B4-BE49-F238E27FC236}">
              <a16:creationId xmlns:a16="http://schemas.microsoft.com/office/drawing/2014/main" id="{E530ABA9-1F6C-493E-277B-B56D6361A3D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38600" y="990600"/>
          <a:ext cx="17811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781050</xdr:colOff>
      <xdr:row>269</xdr:row>
      <xdr:rowOff>133350</xdr:rowOff>
    </xdr:from>
    <xdr:to>
      <xdr:col>7</xdr:col>
      <xdr:colOff>819150</xdr:colOff>
      <xdr:row>283</xdr:row>
      <xdr:rowOff>28575</xdr:rowOff>
    </xdr:to>
    <xdr:pic>
      <xdr:nvPicPr>
        <xdr:cNvPr id="31674" name="Picture 323" descr="Brayton Gas Turbine Cycle">
          <a:extLst>
            <a:ext uri="{FF2B5EF4-FFF2-40B4-BE49-F238E27FC236}">
              <a16:creationId xmlns:a16="http://schemas.microsoft.com/office/drawing/2014/main" id="{A6FE8D72-C81D-6BCC-45EB-90CE1158916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257550" y="53111400"/>
          <a:ext cx="39719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268</xdr:row>
      <xdr:rowOff>114300</xdr:rowOff>
    </xdr:from>
    <xdr:to>
      <xdr:col>4</xdr:col>
      <xdr:colOff>952500</xdr:colOff>
      <xdr:row>277</xdr:row>
      <xdr:rowOff>114300</xdr:rowOff>
    </xdr:to>
    <xdr:pic>
      <xdr:nvPicPr>
        <xdr:cNvPr id="31675" name="Picture 324" descr="Gas Turbine-1">
          <a:extLst>
            <a:ext uri="{FF2B5EF4-FFF2-40B4-BE49-F238E27FC236}">
              <a16:creationId xmlns:a16="http://schemas.microsoft.com/office/drawing/2014/main" id="{BB0A55FE-7788-4FBA-A3E7-8917E39D69D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71525" y="52901850"/>
          <a:ext cx="35814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273050</xdr:colOff>
      <xdr:row>283</xdr:row>
      <xdr:rowOff>73025</xdr:rowOff>
    </xdr:from>
    <xdr:to>
      <xdr:col>7</xdr:col>
      <xdr:colOff>330211</xdr:colOff>
      <xdr:row>307</xdr:row>
      <xdr:rowOff>19050</xdr:rowOff>
    </xdr:to>
    <xdr:sp macro="" textlink="">
      <xdr:nvSpPr>
        <xdr:cNvPr id="2373" name="Text Box 325">
          <a:extLst>
            <a:ext uri="{FF2B5EF4-FFF2-40B4-BE49-F238E27FC236}">
              <a16:creationId xmlns:a16="http://schemas.microsoft.com/office/drawing/2014/main" id="{04DE16F5-A940-683E-BED2-3F0F8048362C}"/>
            </a:ext>
          </a:extLst>
        </xdr:cNvPr>
        <xdr:cNvSpPr txBox="1">
          <a:spLocks noChangeArrowheads="1"/>
        </xdr:cNvSpPr>
      </xdr:nvSpPr>
      <xdr:spPr bwMode="auto">
        <a:xfrm>
          <a:off x="1955800" y="55787925"/>
          <a:ext cx="5089517" cy="46704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4. Brayton Cycle</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Isentropic compression in compressor.</a:t>
          </a:r>
        </a:p>
        <a:p>
          <a:pPr algn="l" rtl="0">
            <a:defRPr sz="1000"/>
          </a:pPr>
          <a:r>
            <a:rPr lang="en-US" sz="1200" b="0" i="0" u="none" strike="noStrike" baseline="0">
              <a:solidFill>
                <a:srgbClr val="000000"/>
              </a:solidFill>
              <a:latin typeface="Arial"/>
              <a:cs typeface="Arial"/>
            </a:rPr>
            <a:t>B to C:  Constant pressure heat addition in combustor.</a:t>
          </a:r>
        </a:p>
        <a:p>
          <a:pPr algn="l" rtl="0">
            <a:defRPr sz="1000"/>
          </a:pPr>
          <a:r>
            <a:rPr lang="en-US" sz="1200" b="0" i="0" u="none" strike="noStrike" baseline="0">
              <a:solidFill>
                <a:srgbClr val="000000"/>
              </a:solidFill>
              <a:latin typeface="Arial"/>
              <a:cs typeface="Arial"/>
            </a:rPr>
            <a:t>C to D:  Isentropic expansion is turbine.</a:t>
          </a:r>
        </a:p>
        <a:p>
          <a:pPr algn="l" rtl="0">
            <a:defRPr sz="1000"/>
          </a:pPr>
          <a:r>
            <a:rPr lang="en-US" sz="1200" b="0" i="0" u="none" strike="noStrike" baseline="0">
              <a:solidFill>
                <a:srgbClr val="000000"/>
              </a:solidFill>
              <a:latin typeface="Arial"/>
              <a:cs typeface="Arial"/>
            </a:rPr>
            <a:t>D to A:  Constant pressure cooling.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 1872 George Brayton applied for a patent for his Ready Motor. The engine used a separate piston compressor and expander. The compressed air was heated by internal fire as it entered the expander cylinder. Today the term Brayton cycle is generally associated with the gas turbine even though Brayton never built anything other than piston engines.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Brayton cycle is the only thermodynamic cycle which can be used in both internal combustion engines (such as jet engines) and for external combustion engines.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Although the Brayton cycle is usually run as an open system (and indeed must be run as such if internal combustion is used), it is conventionally assumed for the purposes of thermodynamic analysis that the exhaust gases are reused in the intake, enabling analysis as a closed system." Wikipedia</a:t>
          </a:r>
        </a:p>
      </xdr:txBody>
    </xdr:sp>
    <xdr:clientData/>
  </xdr:twoCellAnchor>
  <xdr:twoCellAnchor editAs="oneCell">
    <xdr:from>
      <xdr:col>1</xdr:col>
      <xdr:colOff>342900</xdr:colOff>
      <xdr:row>226</xdr:row>
      <xdr:rowOff>66675</xdr:rowOff>
    </xdr:from>
    <xdr:to>
      <xdr:col>5</xdr:col>
      <xdr:colOff>619125</xdr:colOff>
      <xdr:row>239</xdr:row>
      <xdr:rowOff>180975</xdr:rowOff>
    </xdr:to>
    <xdr:pic>
      <xdr:nvPicPr>
        <xdr:cNvPr id="31677" name="Picture 1" descr="Air Standard Otto Cycle-1">
          <a:extLst>
            <a:ext uri="{FF2B5EF4-FFF2-40B4-BE49-F238E27FC236}">
              <a16:creationId xmlns:a16="http://schemas.microsoft.com/office/drawing/2014/main" id="{B3D9F5CE-C9E5-25E0-9B7B-D96BADEAB0B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81050" y="44643675"/>
          <a:ext cx="48101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577850</xdr:colOff>
      <xdr:row>241</xdr:row>
      <xdr:rowOff>114300</xdr:rowOff>
    </xdr:from>
    <xdr:to>
      <xdr:col>6</xdr:col>
      <xdr:colOff>2</xdr:colOff>
      <xdr:row>265</xdr:row>
      <xdr:rowOff>149231</xdr:rowOff>
    </xdr:to>
    <xdr:sp macro="" textlink="">
      <xdr:nvSpPr>
        <xdr:cNvPr id="2375" name="Text Box 327">
          <a:extLst>
            <a:ext uri="{FF2B5EF4-FFF2-40B4-BE49-F238E27FC236}">
              <a16:creationId xmlns:a16="http://schemas.microsoft.com/office/drawing/2014/main" id="{D01BCA81-50C5-D8EF-8E72-8EE21AE8FF93}"/>
            </a:ext>
          </a:extLst>
        </xdr:cNvPr>
        <xdr:cNvSpPr txBox="1">
          <a:spLocks noChangeArrowheads="1"/>
        </xdr:cNvSpPr>
      </xdr:nvSpPr>
      <xdr:spPr bwMode="auto">
        <a:xfrm>
          <a:off x="1063625" y="47561500"/>
          <a:ext cx="5165709" cy="47688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3. Otto Cycle</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Isothermal compression.</a:t>
          </a:r>
        </a:p>
        <a:p>
          <a:pPr algn="l" rtl="0">
            <a:defRPr sz="1000"/>
          </a:pPr>
          <a:r>
            <a:rPr lang="en-US" sz="1200" b="0" i="0" u="none" strike="noStrike" baseline="0">
              <a:solidFill>
                <a:srgbClr val="000000"/>
              </a:solidFill>
              <a:latin typeface="Arial"/>
              <a:cs typeface="Arial"/>
            </a:rPr>
            <a:t>B to C:  Isentropic compression.</a:t>
          </a:r>
        </a:p>
        <a:p>
          <a:pPr algn="l" rtl="0">
            <a:defRPr sz="1000"/>
          </a:pPr>
          <a:r>
            <a:rPr lang="en-US" sz="1200" b="0" i="0" u="none" strike="noStrike" baseline="0">
              <a:solidFill>
                <a:srgbClr val="000000"/>
              </a:solidFill>
              <a:latin typeface="Arial"/>
              <a:cs typeface="Arial"/>
            </a:rPr>
            <a:t>C to D:  Isothermal expansion power stroke.</a:t>
          </a:r>
        </a:p>
        <a:p>
          <a:pPr algn="l" rtl="0">
            <a:defRPr sz="1000"/>
          </a:pPr>
          <a:r>
            <a:rPr lang="en-US" sz="1200" b="0" i="0" u="none" strike="noStrike" baseline="0">
              <a:solidFill>
                <a:srgbClr val="000000"/>
              </a:solidFill>
              <a:latin typeface="Arial"/>
              <a:cs typeface="Arial"/>
            </a:rPr>
            <a:t>D to A:  Isentropic expansion.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four-stroke engine was first patented by Eugenio Barsanti and Felice Matteucci in 1854, followed by a first prototype in 1860. French engineer Alphonse Beau de Rochas also originated the idea independently and published his results in 1861."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"However, the German engineer Nicolaus Otto was the first to develop a functioning four-stroke engine, which is why the four-stroke principle today is commonly known as the Otto cycle and four-stroke engines using spark plugs often are called Otto engines. The Otto Cycle consists of adiabatic compression, heat addition at constant volume, adiabatic expansion and rejection of heat at constant volume.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Internal combustion engine power primarily originates from the expansion of gases in the power stroke. Compressing the fuel and air into a very small space increases the efficiency of the power stroke, but increasing the cylinder compression ratio also increases the heating of the fuel as the mixture is compressed" (following Charles's law). Wikipedia</a:t>
          </a:r>
        </a:p>
      </xdr:txBody>
    </xdr:sp>
    <xdr:clientData/>
  </xdr:twoCellAnchor>
  <xdr:twoCellAnchor editAs="oneCell">
    <xdr:from>
      <xdr:col>2</xdr:col>
      <xdr:colOff>409575</xdr:colOff>
      <xdr:row>148</xdr:row>
      <xdr:rowOff>123825</xdr:rowOff>
    </xdr:from>
    <xdr:to>
      <xdr:col>5</xdr:col>
      <xdr:colOff>257175</xdr:colOff>
      <xdr:row>179</xdr:row>
      <xdr:rowOff>28575</xdr:rowOff>
    </xdr:to>
    <xdr:pic>
      <xdr:nvPicPr>
        <xdr:cNvPr id="31679" name="Picture 329" descr="STEAM CYCLES-2">
          <a:extLst>
            <a:ext uri="{FF2B5EF4-FFF2-40B4-BE49-F238E27FC236}">
              <a16:creationId xmlns:a16="http://schemas.microsoft.com/office/drawing/2014/main" id="{A41CDEDD-4968-79E7-6A19-02840AD786D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00250" y="29698950"/>
          <a:ext cx="3228975"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4</xdr:row>
      <xdr:rowOff>19050</xdr:rowOff>
    </xdr:from>
    <xdr:to>
      <xdr:col>4</xdr:col>
      <xdr:colOff>533400</xdr:colOff>
      <xdr:row>15</xdr:row>
      <xdr:rowOff>47625</xdr:rowOff>
    </xdr:to>
    <xdr:pic>
      <xdr:nvPicPr>
        <xdr:cNvPr id="31680" name="Picture 331" descr="Carnot Power Cycle-2">
          <a:extLst>
            <a:ext uri="{FF2B5EF4-FFF2-40B4-BE49-F238E27FC236}">
              <a16:creationId xmlns:a16="http://schemas.microsoft.com/office/drawing/2014/main" id="{57835CA4-FAAC-B7A9-9C03-63868ABF00A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500" y="939800"/>
          <a:ext cx="3517900" cy="215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16</xdr:row>
      <xdr:rowOff>165101</xdr:rowOff>
    </xdr:from>
    <xdr:to>
      <xdr:col>6</xdr:col>
      <xdr:colOff>0</xdr:colOff>
      <xdr:row>58</xdr:row>
      <xdr:rowOff>19051</xdr:rowOff>
    </xdr:to>
    <xdr:sp macro="" textlink="">
      <xdr:nvSpPr>
        <xdr:cNvPr id="2380" name="Text Box 332">
          <a:extLst>
            <a:ext uri="{FF2B5EF4-FFF2-40B4-BE49-F238E27FC236}">
              <a16:creationId xmlns:a16="http://schemas.microsoft.com/office/drawing/2014/main" id="{53F5D63C-4DB0-08B9-D93C-5CBEC3E52D4B}"/>
            </a:ext>
          </a:extLst>
        </xdr:cNvPr>
        <xdr:cNvSpPr txBox="1">
          <a:spLocks noChangeArrowheads="1"/>
        </xdr:cNvSpPr>
      </xdr:nvSpPr>
      <xdr:spPr bwMode="auto">
        <a:xfrm>
          <a:off x="857250" y="3409951"/>
          <a:ext cx="5372100" cy="80835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600" b="1" i="0" u="none" strike="noStrike" baseline="0">
              <a:solidFill>
                <a:srgbClr val="000000"/>
              </a:solidFill>
              <a:latin typeface="Arial"/>
              <a:cs typeface="Arial"/>
            </a:rPr>
            <a:t>PRINCIPAL THERMAL POWER CYCLES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pressure P versus volume V diagram illustrates a Carnot power cycle applied to gas in the cylinder shown above. Enthalpy Qin (measured in heat units) Btu/lbm or kJ/kg  is absorbed by the gas.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gas expands causing the piston to rise distance x feet or meters.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work output Wout is equal to the weight of the piston multiplied by distance x ft-lbm or m-kg.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power output is equal to Wout divided by the time to move through distance x hp or Watts.</a:t>
          </a:r>
        </a:p>
        <a:p>
          <a:pPr algn="l" rtl="0">
            <a:defRPr sz="1000"/>
          </a:pPr>
          <a:endParaRPr lang="en-US" sz="14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Carnot Cycle</a:t>
          </a:r>
        </a:p>
        <a:p>
          <a:pPr algn="ctr"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The gas is heated at constant volume to a pressure of 4 atmospheres.</a:t>
          </a:r>
        </a:p>
        <a:p>
          <a:pPr algn="l" rtl="0">
            <a:defRPr sz="1000"/>
          </a:pPr>
          <a:r>
            <a:rPr lang="en-US" sz="1200" b="0" i="0" u="none" strike="noStrike" baseline="0">
              <a:solidFill>
                <a:srgbClr val="000000"/>
              </a:solidFill>
              <a:latin typeface="Arial"/>
              <a:cs typeface="Arial"/>
            </a:rPr>
            <a:t>B to C:  The gas is heated at constant pressure to a  temperature of 650 </a:t>
          </a:r>
        </a:p>
        <a:p>
          <a:pPr algn="l" rtl="0">
            <a:defRPr sz="1000"/>
          </a:pPr>
          <a:r>
            <a:rPr lang="en-US" sz="1200" b="0" i="0" u="none" strike="noStrike" baseline="0">
              <a:solidFill>
                <a:srgbClr val="000000"/>
              </a:solidFill>
              <a:latin typeface="Arial"/>
              <a:cs typeface="Arial"/>
            </a:rPr>
            <a:t>degrees K.</a:t>
          </a:r>
        </a:p>
        <a:p>
          <a:pPr algn="l" rtl="0">
            <a:defRPr sz="1000"/>
          </a:pPr>
          <a:r>
            <a:rPr lang="en-US" sz="1200" b="0" i="0" u="none" strike="noStrike" baseline="0">
              <a:solidFill>
                <a:srgbClr val="000000"/>
              </a:solidFill>
              <a:latin typeface="Arial"/>
              <a:cs typeface="Arial"/>
            </a:rPr>
            <a:t>C to D:  The gas is cooled at constant volume to its original temperature.</a:t>
          </a:r>
        </a:p>
        <a:p>
          <a:pPr algn="l" rtl="0">
            <a:defRPr sz="1000"/>
          </a:pPr>
          <a:r>
            <a:rPr lang="en-US" sz="1200" b="0" i="0" u="none" strike="noStrike" baseline="0">
              <a:solidFill>
                <a:srgbClr val="000000"/>
              </a:solidFill>
              <a:latin typeface="Arial"/>
              <a:cs typeface="Arial"/>
            </a:rPr>
            <a:t>D to A:  The gas is cooled at constant pressure to its original volume.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Carnot cycle is the most efficient existing cycle capable of converting a given amount of thermal energy into work or, conversely, for using a given amount of work for refrigeration purposes.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Every thermodynamic system exists in a particular state. When a system is taken through a series of different states and finally returned to its initial state, a thermodynamic cycle is said to have occurred. In the process of going through this cycle, the system may perform work on its surroundings, thereby acting as a heat engine.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Carnot cycle is a particular thermodynamic cycle proposed by Nicolas Léonard Sadi Carnot in 1824 and expanded by Benoit Paul Émile Clapeyron in the 1830s and 40s. A system undergoing a Carnot cycle is then a (hypothetical) Carnot heat engine.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heat engine acts by transferring energy from a warm region to a cool region of space and, in the process, converting some of that energy to mechanical work. The cycle may also be reversed. The system may be worked upon by an external force, and in the process, it can transfer thermal energy from a cooler system to a warmer one, thereby acting as a heat pump rather than a heat engine.</a:t>
          </a:r>
        </a:p>
      </xdr:txBody>
    </xdr:sp>
    <xdr:clientData/>
  </xdr:twoCellAnchor>
  <xdr:twoCellAnchor>
    <xdr:from>
      <xdr:col>7</xdr:col>
      <xdr:colOff>54707</xdr:colOff>
      <xdr:row>14</xdr:row>
      <xdr:rowOff>46403</xdr:rowOff>
    </xdr:from>
    <xdr:to>
      <xdr:col>11</xdr:col>
      <xdr:colOff>19050</xdr:colOff>
      <xdr:row>24</xdr:row>
      <xdr:rowOff>47624</xdr:rowOff>
    </xdr:to>
    <xdr:sp macro="" textlink="">
      <xdr:nvSpPr>
        <xdr:cNvPr id="2" name="TextBox 1">
          <a:extLst>
            <a:ext uri="{FF2B5EF4-FFF2-40B4-BE49-F238E27FC236}">
              <a16:creationId xmlns:a16="http://schemas.microsoft.com/office/drawing/2014/main" id="{812E9DB5-8345-9815-9045-F4BEB499AC89}"/>
            </a:ext>
          </a:extLst>
        </xdr:cNvPr>
        <xdr:cNvSpPr txBox="1"/>
      </xdr:nvSpPr>
      <xdr:spPr>
        <a:xfrm>
          <a:off x="6465032" y="2942003"/>
          <a:ext cx="4641118" cy="1963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DISCLAIMER: The materials contained in the online course are not intended as a representation or warranty on the part of John</a:t>
          </a:r>
          <a:r>
            <a:rPr lang="en-US" sz="1200" baseline="0">
              <a:solidFill>
                <a:schemeClr val="dk1"/>
              </a:solidFill>
              <a:effectLst/>
              <a:latin typeface="Arial" panose="020B0604020202020204" pitchFamily="34" charset="0"/>
              <a:ea typeface="+mn-ea"/>
              <a:cs typeface="Arial" panose="020B0604020202020204" pitchFamily="34" charset="0"/>
            </a:rPr>
            <a:t> Andrew LLC</a:t>
          </a:r>
          <a:r>
            <a:rPr lang="en-US" sz="1200">
              <a:solidFill>
                <a:schemeClr val="dk1"/>
              </a:solidFill>
              <a:effectLst/>
              <a:latin typeface="Arial" panose="020B0604020202020204" pitchFamily="34" charset="0"/>
              <a:ea typeface="+mn-ea"/>
              <a:cs typeface="Arial" panose="020B0604020202020204" pitchFamily="34" charset="0"/>
            </a:rPr>
            <a:t> or any other person/organization named herein. The materials are for general information only. They are not a substitute for competent professional advice. Application of this information to a specific project should be reviewed by a registered professional engineer. Anyone making use of the information set forth herein does so at their own risk and assumes any and all resulting liability arising therefrom. </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100"/>
        </a:p>
      </xdr:txBody>
    </xdr:sp>
    <xdr:clientData/>
  </xdr:twoCellAnchor>
  <xdr:twoCellAnchor>
    <xdr:from>
      <xdr:col>7</xdr:col>
      <xdr:colOff>257174</xdr:colOff>
      <xdr:row>25</xdr:row>
      <xdr:rowOff>6349</xdr:rowOff>
    </xdr:from>
    <xdr:to>
      <xdr:col>10</xdr:col>
      <xdr:colOff>577849</xdr:colOff>
      <xdr:row>173</xdr:row>
      <xdr:rowOff>158750</xdr:rowOff>
    </xdr:to>
    <xdr:sp macro="" textlink="">
      <xdr:nvSpPr>
        <xdr:cNvPr id="3" name="Text Box 9">
          <a:extLst>
            <a:ext uri="{FF2B5EF4-FFF2-40B4-BE49-F238E27FC236}">
              <a16:creationId xmlns:a16="http://schemas.microsoft.com/office/drawing/2014/main" id="{11F5680C-1C05-35B3-107E-727809EA1532}"/>
            </a:ext>
          </a:extLst>
        </xdr:cNvPr>
        <xdr:cNvSpPr txBox="1">
          <a:spLocks noChangeArrowheads="1"/>
        </xdr:cNvSpPr>
      </xdr:nvSpPr>
      <xdr:spPr bwMode="auto">
        <a:xfrm>
          <a:off x="6962774" y="5022849"/>
          <a:ext cx="4600575" cy="292481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300"/>
            </a:lnSpc>
            <a:defRPr sz="1000"/>
          </a:pPr>
          <a:endParaRPr lang="en-US" sz="1200" b="1" i="0" u="none" strike="noStrike" baseline="0">
            <a:solidFill>
              <a:srgbClr val="000000"/>
            </a:solidFill>
            <a:latin typeface="Arial"/>
            <a:cs typeface="Arial"/>
          </a:endParaRPr>
        </a:p>
        <a:p>
          <a:pPr algn="ctr" rtl="0">
            <a:lnSpc>
              <a:spcPts val="1700"/>
            </a:lnSpc>
            <a:defRPr sz="1000"/>
          </a:pPr>
          <a:r>
            <a:rPr lang="en-US" sz="1600" b="1" i="0" u="none" strike="noStrike" baseline="0">
              <a:solidFill>
                <a:srgbClr val="000000"/>
              </a:solidFill>
              <a:latin typeface="Arial"/>
              <a:cs typeface="Arial"/>
            </a:rPr>
            <a:t>DEFINITIONS</a:t>
          </a:r>
        </a:p>
        <a:p>
          <a:pPr algn="l" rtl="0">
            <a:lnSpc>
              <a:spcPts val="1300"/>
            </a:lnSpc>
            <a:defRPr sz="1000"/>
          </a:pPr>
          <a:endParaRPr lang="en-US" sz="1200" b="1"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"1st Law of Thermodynamics </a:t>
          </a:r>
          <a:endParaRPr lang="en-US" sz="14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First Law of Thermodynamics simply states that energy can be neither created nor destroyed (conservation of energy). Sum of work done W = Total enthalpy input Q"</a:t>
          </a:r>
        </a:p>
        <a:p>
          <a:pPr algn="l" rtl="0">
            <a:lnSpc>
              <a:spcPts val="1000"/>
            </a:lnSpc>
            <a:defRPr sz="1000"/>
          </a:pPr>
          <a:r>
            <a:rPr lang="en-US" sz="1200" b="0" i="0" u="none" strike="noStrike" baseline="0">
              <a:solidFill>
                <a:srgbClr val="000000"/>
              </a:solidFill>
              <a:latin typeface="Arial"/>
              <a:cs typeface="Arial"/>
            </a:rPr>
            <a:t>                        </a:t>
          </a:r>
        </a:p>
        <a:p>
          <a:pPr algn="l" rtl="0">
            <a:lnSpc>
              <a:spcPts val="1000"/>
            </a:lnSpc>
            <a:defRPr sz="1000"/>
          </a:pPr>
          <a:r>
            <a:rPr lang="en-US" sz="1400" b="0" i="0" u="none" strike="noStrike" baseline="0">
              <a:solidFill>
                <a:srgbClr val="000000"/>
              </a:solidFill>
              <a:latin typeface="Arial"/>
              <a:cs typeface="Arial"/>
            </a:rPr>
            <a:t>                                             </a:t>
          </a:r>
          <a:r>
            <a:rPr lang="en-US" sz="1400" b="1" i="0" u="none" strike="noStrike" baseline="0">
              <a:solidFill>
                <a:srgbClr val="000000"/>
              </a:solidFill>
              <a:latin typeface="Arial"/>
              <a:cs typeface="Arial"/>
            </a:rPr>
            <a:t>  </a:t>
          </a:r>
          <a:r>
            <a:rPr lang="el-GR" sz="1400" b="1" i="0" u="none" strike="noStrike" baseline="0">
              <a:solidFill>
                <a:srgbClr val="000000"/>
              </a:solidFill>
              <a:latin typeface="Arial"/>
              <a:cs typeface="Arial"/>
            </a:rPr>
            <a:t>Σ</a:t>
          </a:r>
          <a:r>
            <a:rPr lang="en-US" sz="1400" b="1" i="0" u="none" strike="noStrike" baseline="0">
              <a:solidFill>
                <a:srgbClr val="000000"/>
              </a:solidFill>
              <a:latin typeface="Arial"/>
              <a:cs typeface="Arial"/>
            </a:rPr>
            <a:t>W =   </a:t>
          </a:r>
          <a:r>
            <a:rPr lang="el-GR" sz="1400" b="1" i="0" u="none" strike="noStrike" baseline="0">
              <a:solidFill>
                <a:srgbClr val="000000"/>
              </a:solidFill>
              <a:latin typeface="Arial"/>
              <a:cs typeface="Arial"/>
            </a:rPr>
            <a:t>Σ</a:t>
          </a:r>
          <a:r>
            <a:rPr lang="en-US" sz="1400" b="1" i="0" u="none" strike="noStrike" baseline="0">
              <a:solidFill>
                <a:srgbClr val="000000"/>
              </a:solidFill>
              <a:latin typeface="Arial"/>
              <a:cs typeface="Arial"/>
            </a:rPr>
            <a:t>Q</a:t>
          </a:r>
          <a:endParaRPr lang="en-US" sz="1400" b="0" i="0" u="none" strike="noStrike" baseline="0">
            <a:solidFill>
              <a:srgbClr val="000000"/>
            </a:solidFill>
            <a:latin typeface="Arial"/>
            <a:cs typeface="Arial"/>
          </a:endParaRPr>
        </a:p>
        <a:p>
          <a:pPr algn="l" rtl="0">
            <a:lnSpc>
              <a:spcPts val="10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"2nd Law of Thermodynamics </a:t>
          </a:r>
          <a:endParaRPr lang="en-US" sz="14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The second law is concerned with entropy s, which is a measure of disorder. The second law says that the entropy of the universe increases. For any thermodynamic process involving enthalpy Q and absolute temperature T the entropy s will increase."</a:t>
          </a:r>
        </a:p>
        <a:p>
          <a:pPr algn="l" rtl="0">
            <a:lnSpc>
              <a:spcPts val="1000"/>
            </a:lnSpc>
            <a:defRPr sz="1000"/>
          </a:pPr>
          <a:endParaRPr lang="en-US" sz="1400" b="0" i="0" u="none" strike="noStrike" baseline="0">
            <a:solidFill>
              <a:srgbClr val="000000"/>
            </a:solidFill>
            <a:latin typeface="Arial"/>
            <a:cs typeface="Arial"/>
          </a:endParaRPr>
        </a:p>
        <a:p>
          <a:pPr algn="l" rtl="0">
            <a:lnSpc>
              <a:spcPts val="1000"/>
            </a:lnSpc>
            <a:defRPr sz="1000"/>
          </a:pPr>
          <a:r>
            <a:rPr lang="en-US" sz="1400" b="0" i="0" u="none" strike="noStrike" baseline="0">
              <a:solidFill>
                <a:srgbClr val="000000"/>
              </a:solidFill>
              <a:latin typeface="Arial"/>
              <a:cs typeface="Arial"/>
            </a:rPr>
            <a:t>                                              </a:t>
          </a:r>
          <a:r>
            <a:rPr lang="el-GR" sz="1400" b="1" i="0" u="none" strike="noStrike" baseline="0">
              <a:solidFill>
                <a:srgbClr val="000000"/>
              </a:solidFill>
              <a:latin typeface="Arial"/>
              <a:cs typeface="Arial"/>
            </a:rPr>
            <a:t>Δ</a:t>
          </a:r>
          <a:r>
            <a:rPr lang="en-US" sz="1400" b="1" i="0" u="none" strike="noStrike" baseline="0">
              <a:solidFill>
                <a:srgbClr val="000000"/>
              </a:solidFill>
              <a:latin typeface="Arial"/>
              <a:cs typeface="Arial"/>
            </a:rPr>
            <a:t>s ≥</a:t>
          </a:r>
          <a:r>
            <a:rPr lang="en-US" sz="1400" b="0" i="0" u="none" strike="noStrike" baseline="0">
              <a:solidFill>
                <a:srgbClr val="000000"/>
              </a:solidFill>
              <a:latin typeface="Arial"/>
              <a:cs typeface="Arial"/>
            </a:rPr>
            <a:t> </a:t>
          </a:r>
          <a:r>
            <a:rPr lang="el-GR" sz="1400" b="1" i="0" u="none" strike="noStrike" baseline="0">
              <a:solidFill>
                <a:srgbClr val="000000"/>
              </a:solidFill>
              <a:latin typeface="Arial"/>
              <a:cs typeface="Arial"/>
            </a:rPr>
            <a:t>Δ</a:t>
          </a:r>
          <a:r>
            <a:rPr lang="en-US" sz="1400" b="1" i="0" u="none" strike="noStrike" baseline="0">
              <a:solidFill>
                <a:srgbClr val="000000"/>
              </a:solidFill>
              <a:latin typeface="Arial"/>
              <a:cs typeface="Arial"/>
            </a:rPr>
            <a:t>Q / T</a:t>
          </a:r>
          <a:endParaRPr lang="en-US" sz="1400" b="0" i="0" u="none" strike="noStrike" baseline="0">
            <a:solidFill>
              <a:srgbClr val="000000"/>
            </a:solidFill>
            <a:latin typeface="Arial"/>
            <a:cs typeface="Arial"/>
          </a:endParaRPr>
        </a:p>
        <a:p>
          <a:pPr algn="l" rtl="0">
            <a:lnSpc>
              <a:spcPts val="10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Temperature</a:t>
          </a:r>
        </a:p>
        <a:p>
          <a:pPr algn="l" rtl="0">
            <a:lnSpc>
              <a:spcPts val="1300"/>
            </a:lnSpc>
            <a:defRPr sz="1000"/>
          </a:pPr>
          <a:r>
            <a:rPr lang="en-US" sz="1200" b="0" i="0" u="none" strike="noStrike" baseline="0">
              <a:solidFill>
                <a:srgbClr val="000000"/>
              </a:solidFill>
              <a:latin typeface="Arial"/>
              <a:cs typeface="Arial"/>
            </a:rPr>
            <a:t> is the intensity of heat.</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1" i="0" u="none" strike="noStrike" baseline="0">
              <a:solidFill>
                <a:srgbClr val="000000"/>
              </a:solidFill>
              <a:latin typeface="Arial"/>
              <a:cs typeface="Arial"/>
            </a:rPr>
            <a:t>Power cycle temperatures are measured in the absolute: Kelvin (degrees C + 270) or Rankin (degrees F + 460) scale.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Calorie</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Definition of the calorie is based on the specific heat capacity of water.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gram calorie, approximately 4.2 J, is the heat energy required to raise the temperature of one gram of water through 1 degree Centigrade at standard temperature and pressure.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kilogram calorie, equal to one thousand gram calories.</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Btu</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British Thermal Unit (BTU) is the amount of heat energy needed to raise the temperature of one pound of water by one degree F at standard temperature and pressure.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This is the standard measurement used to state the amount of energy that a fuel has as well as the amount of output of any heat generating device.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Isothermal Process</a:t>
          </a:r>
          <a:endParaRPr lang="en-US" sz="1400" b="0" i="0" u="none" strike="noStrike" baseline="0">
            <a:solidFill>
              <a:srgbClr val="000000"/>
            </a:solidFill>
            <a:latin typeface="Arial"/>
            <a:cs typeface="Arial"/>
          </a:endParaRPr>
        </a:p>
        <a:p>
          <a:pPr algn="l" rtl="0">
            <a:lnSpc>
              <a:spcPts val="1300"/>
            </a:lnSpc>
            <a:defRPr sz="1000"/>
          </a:pPr>
          <a:r>
            <a:rPr lang="en-US" sz="1200" b="1" i="0" u="none" strike="noStrike" baseline="0">
              <a:solidFill>
                <a:srgbClr val="000000"/>
              </a:solidFill>
              <a:latin typeface="Arial"/>
              <a:cs typeface="Arial"/>
            </a:rPr>
            <a:t>An isothermal process is a change of a system, in which the temperature remains constant: </a:t>
          </a:r>
          <a:r>
            <a:rPr lang="el-GR" sz="1200" b="1" i="0" u="none" strike="noStrike" baseline="0">
              <a:solidFill>
                <a:srgbClr val="000000"/>
              </a:solidFill>
              <a:latin typeface="Arial"/>
              <a:cs typeface="Arial"/>
            </a:rPr>
            <a:t>Δ</a:t>
          </a:r>
          <a:r>
            <a:rPr lang="en-US" sz="1200" b="1" i="0" u="none" strike="noStrike" baseline="0">
              <a:solidFill>
                <a:srgbClr val="000000"/>
              </a:solidFill>
              <a:latin typeface="Arial"/>
              <a:cs typeface="Arial"/>
            </a:rPr>
            <a:t>T = 0. </a:t>
          </a:r>
        </a:p>
        <a:p>
          <a:pPr algn="l" rtl="0">
            <a:lnSpc>
              <a:spcPts val="1300"/>
            </a:lnSpc>
            <a:defRPr sz="1000"/>
          </a:pPr>
          <a:r>
            <a:rPr lang="en-US" sz="1200" b="0" i="0" u="none" strike="noStrike" baseline="0">
              <a:solidFill>
                <a:srgbClr val="000000"/>
              </a:solidFill>
              <a:latin typeface="Arial"/>
              <a:cs typeface="Arial"/>
            </a:rPr>
            <a:t>This typically occurs when a system is in contact with an outside thermal reservoir (heat bath), and the change occurs slowly enough to allow the system to continually adjust to the temperature of the reservoir through heat exchange. Wikapedia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Adiabatic Process</a:t>
          </a:r>
          <a:endParaRPr lang="en-US" sz="1400" b="0" i="0" u="none" strike="noStrike" baseline="0">
            <a:solidFill>
              <a:srgbClr val="000000"/>
            </a:solidFill>
            <a:latin typeface="Arial"/>
            <a:cs typeface="Arial"/>
          </a:endParaRPr>
        </a:p>
        <a:p>
          <a:pPr algn="l" rtl="0">
            <a:lnSpc>
              <a:spcPts val="1300"/>
            </a:lnSpc>
            <a:defRPr sz="1000"/>
          </a:pPr>
          <a:r>
            <a:rPr lang="en-US" sz="1200" b="1">
              <a:latin typeface="Arial" panose="020B0604020202020204" pitchFamily="34" charset="0"/>
              <a:cs typeface="Arial" panose="020B0604020202020204" pitchFamily="34" charset="0"/>
            </a:rPr>
            <a:t>In thermodynamics, an adiabatic process or an isocaloric process is a thermodynamic process in which no heat is transferred to or from the working fluid. </a:t>
          </a:r>
        </a:p>
        <a:p>
          <a:pPr algn="l" rtl="0">
            <a:lnSpc>
              <a:spcPts val="1300"/>
            </a:lnSpc>
            <a:defRPr sz="1000"/>
          </a:pPr>
          <a:r>
            <a:rPr lang="en-US" sz="1200" b="0" i="0" u="none" strike="noStrike" baseline="0">
              <a:solidFill>
                <a:srgbClr val="000000"/>
              </a:solidFill>
              <a:latin typeface="Arial"/>
              <a:cs typeface="Arial"/>
            </a:rPr>
            <a:t>A transformation of a thermodynamic system can be considered adiabatic when it is quick enough that no significant heat is transferred between the system and the outside." Wikapedia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Isobaric Process</a:t>
          </a:r>
          <a:endParaRPr lang="en-US" sz="1400" b="0" i="0" u="none" strike="noStrike" baseline="0">
            <a:solidFill>
              <a:srgbClr val="000000"/>
            </a:solidFill>
            <a:latin typeface="Arial"/>
            <a:cs typeface="Arial"/>
          </a:endParaRPr>
        </a:p>
        <a:p>
          <a:pPr algn="l" rtl="0">
            <a:lnSpc>
              <a:spcPts val="1300"/>
            </a:lnSpc>
            <a:defRPr sz="1000"/>
          </a:pPr>
          <a:r>
            <a:rPr lang="en-US" sz="1200" b="1" i="0" u="none" strike="noStrike" baseline="0">
              <a:solidFill>
                <a:srgbClr val="000000"/>
              </a:solidFill>
              <a:latin typeface="Arial"/>
              <a:cs typeface="Arial"/>
            </a:rPr>
            <a:t>An isobaric process is a thermodynamic process in which the pressure remains constant. </a:t>
          </a:r>
        </a:p>
        <a:p>
          <a:pPr algn="l" rtl="0">
            <a:lnSpc>
              <a:spcPts val="1300"/>
            </a:lnSpc>
            <a:defRPr sz="1000"/>
          </a:pPr>
          <a:endParaRPr lang="en-US" sz="1200" b="1"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This is usually obtained by allowed the volume to expand or contract in such a way to neutralize any pressure changes that would be caused by heat transfer.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an isobaric process, there are typically internal energy changes, work is done by the system, and heat is transferred, so none of the quantities in the first law of thermodynamics readily reduce to zero.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However, the work at a constant pressure can be fairly easily calculated with the equation: </a:t>
          </a:r>
        </a:p>
        <a:p>
          <a:pPr algn="l" rtl="0">
            <a:lnSpc>
              <a:spcPts val="1300"/>
            </a:lnSpc>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W = p + </a:t>
          </a:r>
          <a:r>
            <a:rPr lang="el-GR" sz="1200" b="1" i="0" u="none" strike="noStrike" baseline="0">
              <a:solidFill>
                <a:srgbClr val="000000"/>
              </a:solidFill>
              <a:latin typeface="Arial"/>
              <a:cs typeface="Arial"/>
            </a:rPr>
            <a:t>Δ</a:t>
          </a:r>
          <a:r>
            <a:rPr lang="en-US" sz="1200" b="0" i="0" u="none" strike="noStrike" baseline="0">
              <a:solidFill>
                <a:srgbClr val="000000"/>
              </a:solidFill>
              <a:latin typeface="Arial"/>
              <a:cs typeface="Arial"/>
            </a:rPr>
            <a:t>V</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Since W is the work, p is the pressure (always positive) and delta-V is the change in volume, we can see that there are two possible outcomes to an isobaric process: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•If the system expands (delta-V is positive), then the system does positive work (and vice versa)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•If the system contracts (delta-V is negative), then the system does negative work (and vice versa)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a phase diagram, an isobaric process would show up as a horizontal line, since it takes place along a constant pressure.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Isentropic Process</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thermodynamics, an isentropic process or isentropic process is one during which the entropy of the system remains constant.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It can be proved that any reversible adiabatic process is an isentropic process.</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Enthalpy</a:t>
          </a:r>
          <a:r>
            <a:rPr lang="en-US" sz="1400" b="0" i="0" u="none" strike="noStrike" baseline="0">
              <a:solidFill>
                <a:srgbClr val="000000"/>
              </a:solidFill>
              <a:latin typeface="Arial"/>
              <a:cs typeface="Arial"/>
            </a:rPr>
            <a:t> </a:t>
          </a:r>
        </a:p>
        <a:p>
          <a:pPr algn="l" rtl="0">
            <a:lnSpc>
              <a:spcPts val="1300"/>
            </a:lnSpc>
            <a:defRPr sz="1000"/>
          </a:pPr>
          <a:r>
            <a:rPr lang="en-US" sz="1200" b="0" i="0" u="none" strike="noStrike" baseline="0">
              <a:solidFill>
                <a:srgbClr val="000000"/>
              </a:solidFill>
              <a:latin typeface="Arial"/>
              <a:cs typeface="Arial"/>
            </a:rPr>
            <a:t>In thermodynamics and molecular chemistry, the enthalpy (denoted as H, or specific enthalpy denoted as h) is a thermodynamic property of a thermodynamic system.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It can be used to calculate the heat transfer during a quasi-static process taking place in a closed thermodynamic system under constant pressure (isobaric process).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Enthalpy H is an arbitrary concept but the enthalpy change </a:t>
          </a:r>
          <a:r>
            <a:rPr lang="el-GR" sz="1200" b="0" i="0" u="none" strike="noStrike" baseline="0">
              <a:solidFill>
                <a:srgbClr val="000000"/>
              </a:solidFill>
              <a:latin typeface="Arial"/>
              <a:cs typeface="Arial"/>
            </a:rPr>
            <a:t>Δ</a:t>
          </a:r>
          <a:r>
            <a:rPr lang="en-US" sz="1200" b="0" i="0" u="none" strike="noStrike" baseline="0">
              <a:solidFill>
                <a:srgbClr val="000000"/>
              </a:solidFill>
              <a:latin typeface="Arial"/>
              <a:cs typeface="Arial"/>
            </a:rPr>
            <a:t>H is more useful because for quasi-static processes that occur under constant pressure conditions, it is equal to the change in the internal energy of the system, plus the work that the system has done on its surroundings.</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This means that the change in enthalpy under such conditions is the heat absorbed by a chemical reaction. Wikapedia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Entropy</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thermodynamics, entropy is a measure of how much of the energy of a system is potentially available to do work and how much of it is potentially manifest as heat.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classical thermodynamics, the entropy is defined only for a system in thermodynamic equilibrium.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thermodynamic system is any physical object or region of space that can be described by its thermodynamic quantities such as temperature, pressure, volume and density. </a:t>
          </a:r>
        </a:p>
        <a:p>
          <a:pPr algn="l" rtl="0">
            <a:lnSpc>
              <a:spcPts val="10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 simple terms, the second law of thermodynamics states that for a system, the differences in intensive thermodynamic quantities such as: temperature, pressure, and chemical potential tend to become more uniform as time goes by, unless there is an outside influence which works to maintain the differences.</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entropy of vaporization is the increase in entropy when vaporizing a substance.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This is always positive since the degree of disorder increases in the transition from an organized crystalline solid or a slightly less organized liquid to the extremely disorganized structure of a gas.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It is denoted as </a:t>
          </a:r>
          <a:r>
            <a:rPr lang="el-GR" sz="1200" b="0" i="0" u="none" strike="noStrike" baseline="0">
              <a:solidFill>
                <a:srgbClr val="000000"/>
              </a:solidFill>
              <a:latin typeface="Arial"/>
              <a:cs typeface="Arial"/>
            </a:rPr>
            <a:t>Δ</a:t>
          </a:r>
          <a:r>
            <a:rPr lang="en-US" sz="1200" b="0" i="0" u="none" strike="noStrike" baseline="0">
              <a:solidFill>
                <a:srgbClr val="000000"/>
              </a:solidFill>
              <a:latin typeface="Arial"/>
              <a:cs typeface="Arial"/>
            </a:rPr>
            <a:t>S</a:t>
          </a:r>
          <a:r>
            <a:rPr lang="en-US" sz="1200" b="0" i="0" u="none" strike="noStrike" baseline="30000">
              <a:solidFill>
                <a:srgbClr val="000000"/>
              </a:solidFill>
              <a:latin typeface="Arial"/>
              <a:cs typeface="Arial"/>
            </a:rPr>
            <a:t>o</a:t>
          </a:r>
          <a:r>
            <a:rPr lang="en-US" sz="1200" b="0" i="0" u="none" strike="noStrike" baseline="-25000">
              <a:solidFill>
                <a:srgbClr val="000000"/>
              </a:solidFill>
              <a:latin typeface="Arial"/>
              <a:cs typeface="Arial"/>
            </a:rPr>
            <a:t>vap</a:t>
          </a:r>
          <a:r>
            <a:rPr lang="en-US" sz="1200" b="0" i="0" u="none" strike="noStrike" baseline="0">
              <a:solidFill>
                <a:srgbClr val="000000"/>
              </a:solidFill>
              <a:latin typeface="Arial"/>
              <a:cs typeface="Arial"/>
            </a:rPr>
            <a:t> and normally expressed in J/mol·K.</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natural process such as a phase change will occur when the associated change in the Gibbs free energy is negative. It follows that the standard entropy change of vaporization is related to the boiling point and the standard enthalpy change of vaporization:</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 The entropy of fusion is the increase in entropy when melting a substance. This is always positive since the degree of disorder increases in the transition from an organized crystalline solid to the disorganized structure of a liquid. It is denoted as </a:t>
          </a:r>
          <a:r>
            <a:rPr lang="el-GR" sz="1200" b="0" i="0" u="none" strike="noStrike" baseline="0">
              <a:solidFill>
                <a:srgbClr val="000000"/>
              </a:solidFill>
              <a:latin typeface="Arial"/>
              <a:cs typeface="Arial"/>
            </a:rPr>
            <a:t>Δ</a:t>
          </a:r>
          <a:r>
            <a:rPr lang="en-US" sz="1200" b="0" i="0" u="none" strike="noStrike" baseline="0">
              <a:solidFill>
                <a:srgbClr val="000000"/>
              </a:solidFill>
              <a:latin typeface="Arial"/>
              <a:cs typeface="Arial"/>
            </a:rPr>
            <a:t>Sfus and normally expressed in J / mol · K</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 natural process such as a phase change will occur when the associated change in the Gibbs free energy is negative. It follows that the entropy of fusion is related to the melting point and the heat of fusion. Wikapedia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400" b="1" i="0" u="none" strike="noStrike" baseline="0">
              <a:solidFill>
                <a:srgbClr val="000000"/>
              </a:solidFill>
              <a:latin typeface="Arial"/>
              <a:cs typeface="Arial"/>
            </a:rPr>
            <a:t>Steam and Vapor Enthalpy </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Introduction and definition of vapor and steam enthalpy - specific enthalpy of saturated liquid, saturated vapor and superheated vapor.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Steam quality is the proportion of saturated steam in a saturated water/steam mixture. A steam quality of 0 indicates 100% water while a steam quality of 1 indicates 100% steam. Steam quality is very useful in determining enthalpy of saturated water/steam mixtures since the enthalpy of steam (gaseous state) is many orders of magnitude higher than enthalpy of water (liquid state).</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Mathematically, quality is defined by the relationship x = [mass of vapor] / total mass. This can be translated to x = (y − y[f]) / y[fg], where y is equal to either specific enthalpy, specific entropy, specific volume or specific internal energy. y[f] is the value of the specific property of the substance in the liquid state while under saturated conditions, and y[fg] is the value of the specific property of the substance in the gas state minus that of the liquid state.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Water - Thermal Properties </a:t>
          </a:r>
        </a:p>
        <a:p>
          <a:pPr algn="l" rtl="0">
            <a:defRPr sz="1000"/>
          </a:pPr>
          <a:r>
            <a:rPr lang="en-US" sz="1200" b="0" i="0" u="none" strike="noStrike" baseline="0">
              <a:solidFill>
                <a:srgbClr val="000000"/>
              </a:solidFill>
              <a:latin typeface="Arial"/>
              <a:cs typeface="Arial"/>
            </a:rPr>
            <a:t>Thermal properties of water - density, freezing temperature, boiling. </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7</xdr:col>
      <xdr:colOff>695325</xdr:colOff>
      <xdr:row>196</xdr:row>
      <xdr:rowOff>95250</xdr:rowOff>
    </xdr:from>
    <xdr:to>
      <xdr:col>10</xdr:col>
      <xdr:colOff>130175</xdr:colOff>
      <xdr:row>202</xdr:row>
      <xdr:rowOff>158800</xdr:rowOff>
    </xdr:to>
    <xdr:sp macro="" textlink="">
      <xdr:nvSpPr>
        <xdr:cNvPr id="4" name="Text Box 16">
          <a:extLst>
            <a:ext uri="{FF2B5EF4-FFF2-40B4-BE49-F238E27FC236}">
              <a16:creationId xmlns:a16="http://schemas.microsoft.com/office/drawing/2014/main" id="{D0C626BF-D149-9DD9-EA4E-8BCBFB0AD3DD}"/>
            </a:ext>
          </a:extLst>
        </xdr:cNvPr>
        <xdr:cNvSpPr txBox="1">
          <a:spLocks noChangeArrowheads="1"/>
        </xdr:cNvSpPr>
      </xdr:nvSpPr>
      <xdr:spPr bwMode="auto">
        <a:xfrm>
          <a:off x="7400925" y="38735000"/>
          <a:ext cx="3714750" cy="1244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Properties of Saturated Steam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Saturated Steam Table with steam properties as specific volume, density, specific enthalpy and specific entropy.</a:t>
          </a:r>
        </a:p>
      </xdr:txBody>
    </xdr:sp>
    <xdr:clientData/>
  </xdr:twoCellAnchor>
  <xdr:twoCellAnchor editAs="oneCell">
    <xdr:from>
      <xdr:col>7</xdr:col>
      <xdr:colOff>1447800</xdr:colOff>
      <xdr:row>203</xdr:row>
      <xdr:rowOff>76200</xdr:rowOff>
    </xdr:from>
    <xdr:to>
      <xdr:col>13</xdr:col>
      <xdr:colOff>257175</xdr:colOff>
      <xdr:row>231</xdr:row>
      <xdr:rowOff>104775</xdr:rowOff>
    </xdr:to>
    <xdr:pic>
      <xdr:nvPicPr>
        <xdr:cNvPr id="31685" name="Picture 17" descr="ENTHALPY GRAPH-1">
          <a:extLst>
            <a:ext uri="{FF2B5EF4-FFF2-40B4-BE49-F238E27FC236}">
              <a16:creationId xmlns:a16="http://schemas.microsoft.com/office/drawing/2014/main" id="{1CF5E3D1-F33C-0C41-B83F-8C62A6807A5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39150" y="40195500"/>
          <a:ext cx="4914900" cy="545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3175</xdr:colOff>
      <xdr:row>176</xdr:row>
      <xdr:rowOff>3175</xdr:rowOff>
    </xdr:from>
    <xdr:to>
      <xdr:col>11</xdr:col>
      <xdr:colOff>146050</xdr:colOff>
      <xdr:row>194</xdr:row>
      <xdr:rowOff>123825</xdr:rowOff>
    </xdr:to>
    <xdr:pic>
      <xdr:nvPicPr>
        <xdr:cNvPr id="31686" name="Picture 18" descr="Vapor Dome with Isobars">
          <a:extLst>
            <a:ext uri="{FF2B5EF4-FFF2-40B4-BE49-F238E27FC236}">
              <a16:creationId xmlns:a16="http://schemas.microsoft.com/office/drawing/2014/main" id="{9A254A84-0CF8-13C6-8186-BA1B430B88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08775" y="34705925"/>
          <a:ext cx="5038725" cy="366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581025</xdr:colOff>
      <xdr:row>268</xdr:row>
      <xdr:rowOff>184150</xdr:rowOff>
    </xdr:from>
    <xdr:to>
      <xdr:col>12</xdr:col>
      <xdr:colOff>523875</xdr:colOff>
      <xdr:row>303</xdr:row>
      <xdr:rowOff>158750</xdr:rowOff>
    </xdr:to>
    <xdr:sp macro="" textlink="">
      <xdr:nvSpPr>
        <xdr:cNvPr id="7" name="Text Box 300">
          <a:extLst>
            <a:ext uri="{FF2B5EF4-FFF2-40B4-BE49-F238E27FC236}">
              <a16:creationId xmlns:a16="http://schemas.microsoft.com/office/drawing/2014/main" id="{AA5F0EB2-0C68-DEF6-BEFF-D893F8826E04}"/>
            </a:ext>
          </a:extLst>
        </xdr:cNvPr>
        <xdr:cNvSpPr txBox="1">
          <a:spLocks noChangeArrowheads="1"/>
        </xdr:cNvSpPr>
      </xdr:nvSpPr>
      <xdr:spPr bwMode="auto">
        <a:xfrm>
          <a:off x="9512300" y="52978050"/>
          <a:ext cx="4425950" cy="6864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Arial"/>
            <a:cs typeface="Arial"/>
          </a:endParaRPr>
        </a:p>
        <a:p>
          <a:pPr algn="ctr" rtl="0">
            <a:lnSpc>
              <a:spcPts val="1500"/>
            </a:lnSpc>
            <a:defRPr sz="1000"/>
          </a:pPr>
          <a:r>
            <a:rPr lang="en-US" sz="1400" b="1" i="0" u="none" strike="noStrike" baseline="0">
              <a:solidFill>
                <a:srgbClr val="000000"/>
              </a:solidFill>
              <a:latin typeface="Arial"/>
              <a:cs typeface="Arial"/>
            </a:rPr>
            <a:t>Stoker Boiler 65 T/H, 2.5 mPa</a:t>
          </a:r>
          <a:endParaRPr lang="en-US" sz="14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Boiler Specifications:</a:t>
          </a:r>
        </a:p>
        <a:p>
          <a:pPr algn="l" rtl="0">
            <a:lnSpc>
              <a:spcPts val="1300"/>
            </a:lnSpc>
            <a:defRPr sz="1000"/>
          </a:pPr>
          <a:r>
            <a:rPr lang="en-US" sz="1200" b="0" i="0" u="none" strike="noStrike" baseline="0">
              <a:solidFill>
                <a:srgbClr val="000000"/>
              </a:solidFill>
              <a:latin typeface="Arial"/>
              <a:cs typeface="Arial"/>
            </a:rPr>
            <a:t>Rated Steam Generated: 65 t/h</a:t>
          </a:r>
        </a:p>
        <a:p>
          <a:pPr algn="l" rtl="0">
            <a:lnSpc>
              <a:spcPts val="1300"/>
            </a:lnSpc>
            <a:defRPr sz="1000"/>
          </a:pPr>
          <a:r>
            <a:rPr lang="en-US" sz="1200" b="0" i="0" u="none" strike="noStrike" baseline="0">
              <a:solidFill>
                <a:srgbClr val="000000"/>
              </a:solidFill>
              <a:latin typeface="Arial"/>
              <a:cs typeface="Arial"/>
            </a:rPr>
            <a:t>Rated Steam Pressure: 2.5 MPa</a:t>
          </a:r>
        </a:p>
        <a:p>
          <a:pPr algn="l" rtl="0">
            <a:lnSpc>
              <a:spcPts val="1300"/>
            </a:lnSpc>
            <a:defRPr sz="1000"/>
          </a:pPr>
          <a:r>
            <a:rPr lang="en-US" sz="1200" b="0" i="0" u="none" strike="noStrike" baseline="0">
              <a:solidFill>
                <a:srgbClr val="000000"/>
              </a:solidFill>
              <a:latin typeface="Arial"/>
              <a:cs typeface="Arial"/>
            </a:rPr>
            <a:t>Rated Steam Temp: Saturated</a:t>
          </a:r>
        </a:p>
        <a:p>
          <a:pPr algn="l" rtl="0">
            <a:lnSpc>
              <a:spcPts val="1300"/>
            </a:lnSpc>
            <a:defRPr sz="1000"/>
          </a:pPr>
          <a:r>
            <a:rPr lang="en-US" sz="1200" b="0" i="0" u="none" strike="noStrike" baseline="0">
              <a:solidFill>
                <a:srgbClr val="000000"/>
              </a:solidFill>
              <a:latin typeface="Arial"/>
              <a:cs typeface="Arial"/>
            </a:rPr>
            <a:t>Feed Water Temp: 105 deg C</a:t>
          </a:r>
        </a:p>
        <a:p>
          <a:pPr algn="l" rtl="0">
            <a:lnSpc>
              <a:spcPts val="1300"/>
            </a:lnSpc>
            <a:defRPr sz="1000"/>
          </a:pPr>
          <a:r>
            <a:rPr lang="en-US" sz="1200" b="0" i="0" u="none" strike="noStrike" baseline="0">
              <a:solidFill>
                <a:srgbClr val="000000"/>
              </a:solidFill>
              <a:latin typeface="Arial"/>
              <a:cs typeface="Arial"/>
            </a:rPr>
            <a:t>Hot Air Temp: 136 deg C</a:t>
          </a:r>
        </a:p>
        <a:p>
          <a:pPr algn="l" rtl="0">
            <a:lnSpc>
              <a:spcPts val="1300"/>
            </a:lnSpc>
            <a:defRPr sz="1000"/>
          </a:pPr>
          <a:r>
            <a:rPr lang="en-US" sz="1200" b="0" i="0" u="none" strike="noStrike" baseline="0">
              <a:solidFill>
                <a:srgbClr val="000000"/>
              </a:solidFill>
              <a:latin typeface="Arial"/>
              <a:cs typeface="Arial"/>
            </a:rPr>
            <a:t>Cold Air Temp: 20 deg C</a:t>
          </a:r>
        </a:p>
        <a:p>
          <a:pPr algn="l" rtl="0">
            <a:lnSpc>
              <a:spcPts val="1300"/>
            </a:lnSpc>
            <a:defRPr sz="1000"/>
          </a:pPr>
          <a:r>
            <a:rPr lang="en-US" sz="1200" b="0" i="0" u="none" strike="noStrike" baseline="0">
              <a:solidFill>
                <a:srgbClr val="000000"/>
              </a:solidFill>
              <a:latin typeface="Arial"/>
              <a:cs typeface="Arial"/>
            </a:rPr>
            <a:t>Designed Coal: Bituminous Class II</a:t>
          </a:r>
        </a:p>
        <a:p>
          <a:pPr algn="l" rtl="0">
            <a:lnSpc>
              <a:spcPts val="1300"/>
            </a:lnSpc>
            <a:defRPr sz="1000"/>
          </a:pPr>
          <a:r>
            <a:rPr lang="en-US" sz="1200" b="0" i="0" u="none" strike="noStrike" baseline="0">
              <a:solidFill>
                <a:srgbClr val="000000"/>
              </a:solidFill>
              <a:latin typeface="Arial"/>
              <a:cs typeface="Arial"/>
            </a:rPr>
            <a:t>Designed Efficiency: &gt;80%</a:t>
          </a:r>
        </a:p>
        <a:p>
          <a:pPr algn="l" rtl="0">
            <a:lnSpc>
              <a:spcPts val="1300"/>
            </a:lnSpc>
            <a:defRPr sz="1000"/>
          </a:pPr>
          <a:r>
            <a:rPr lang="en-US" sz="1200" b="0" i="0" u="none" strike="noStrike" baseline="0">
              <a:solidFill>
                <a:srgbClr val="000000"/>
              </a:solidFill>
              <a:latin typeface="Arial"/>
              <a:cs typeface="Arial"/>
            </a:rPr>
            <a:t>Flue Gas Exit Temp: 156 deg C</a:t>
          </a:r>
        </a:p>
        <a:p>
          <a:pPr algn="l" rtl="0">
            <a:lnSpc>
              <a:spcPts val="1300"/>
            </a:lnSpc>
            <a:defRPr sz="1000"/>
          </a:pPr>
          <a:r>
            <a:rPr lang="en-US" sz="1200" b="0" i="0" u="none" strike="noStrike" baseline="0">
              <a:solidFill>
                <a:srgbClr val="000000"/>
              </a:solidFill>
              <a:latin typeface="Arial"/>
              <a:cs typeface="Arial"/>
            </a:rPr>
            <a:t>Hydraulic Testing Pressure: 3.125 MPa</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Boiler in this series is a single drum, natural circulation, water-tube boiler. It adopts a </a:t>
          </a:r>
          <a:r>
            <a:rPr lang="az-Cyrl-AZ" sz="1200" b="0" i="0" u="none" strike="noStrike" baseline="0">
              <a:solidFill>
                <a:srgbClr val="000000"/>
              </a:solidFill>
              <a:latin typeface="Arial"/>
              <a:cs typeface="Arial"/>
            </a:rPr>
            <a:t>П </a:t>
          </a:r>
          <a:r>
            <a:rPr lang="en-US" sz="1200" b="0" i="0" u="none" strike="noStrike" baseline="0">
              <a:solidFill>
                <a:srgbClr val="000000"/>
              </a:solidFill>
              <a:latin typeface="Arial"/>
              <a:cs typeface="Arial"/>
            </a:rPr>
            <a:t>arrangement, with the water wall separated into multiple independent circulating loops which are in a precise location, ensuring water circulation is safe and remains unobstructed. </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As a result, the furnace contains two arches; the front arch is a tall arch, while the rear arch is lower and longer. The boiler can create strong turbulence at the throat to form a gas eddy which facilitates the ignition of the fuel and ensures a complete burn.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staged coal feeder is included. Optimum ventilation is maintained in the coal layer on the grate. This is beneficial for complete coal combustion and enhances combustion efficiency, which in turn reduces the carbon content in ash and prevents slag.</a:t>
          </a:r>
        </a:p>
        <a:p>
          <a:pPr algn="l" rtl="0">
            <a:defRPr sz="1000"/>
          </a:pPr>
          <a:endParaRPr lang="en-US" sz="1400" b="1" i="0" u="none" strike="noStrike" baseline="0">
            <a:solidFill>
              <a:srgbClr val="000000"/>
            </a:solidFill>
            <a:latin typeface="Arial"/>
            <a:cs typeface="Arial"/>
          </a:endParaRPr>
        </a:p>
        <a:p>
          <a:pPr algn="l" rtl="0">
            <a:defRPr sz="1000"/>
          </a:pPr>
          <a:r>
            <a:rPr lang="en-US" sz="1400" b="1" i="0" u="none" strike="noStrike" baseline="0">
              <a:solidFill>
                <a:srgbClr val="000000"/>
              </a:solidFill>
              <a:latin typeface="Arial"/>
              <a:cs typeface="Arial"/>
            </a:rPr>
            <a:t>See full size image above.</a:t>
          </a:r>
        </a:p>
        <a:p>
          <a:pPr algn="l" rtl="0">
            <a:lnSpc>
              <a:spcPts val="1300"/>
            </a:lnSpc>
            <a:defRPr sz="1000"/>
          </a:pPr>
          <a:r>
            <a:rPr lang="en-US" sz="1200" b="0" i="0" u="none" strike="noStrike" baseline="0">
              <a:solidFill>
                <a:srgbClr val="000000"/>
              </a:solidFill>
              <a:latin typeface="Arial"/>
              <a:cs typeface="Arial"/>
            </a:rPr>
            <a:t>465 x 629 - 228k - jpg - sonichorns.com/images/Boilers/Stoker/shl65-25.jpg</a:t>
          </a:r>
        </a:p>
        <a:p>
          <a:pPr algn="l" rtl="0">
            <a:defRPr sz="1000"/>
          </a:pPr>
          <a:r>
            <a:rPr lang="en-US" sz="1200" b="0" i="0" u="none" strike="noStrike" baseline="0">
              <a:solidFill>
                <a:srgbClr val="000000"/>
              </a:solidFill>
              <a:latin typeface="Arial"/>
              <a:cs typeface="Arial"/>
            </a:rPr>
            <a:t>Image may be subject to copyright.</a:t>
          </a:r>
        </a:p>
        <a:p>
          <a:pPr algn="l" rtl="0">
            <a:defRPr sz="1000"/>
          </a:pPr>
          <a:r>
            <a:rPr lang="en-US" sz="1200" b="0" i="0" u="none" strike="noStrike" baseline="0">
              <a:solidFill>
                <a:srgbClr val="000000"/>
              </a:solidFill>
              <a:latin typeface="Arial"/>
              <a:cs typeface="Arial"/>
            </a:rPr>
            <a:t>Below is the image at: sonichorns.com/products/sb_65t_25.html</a:t>
          </a:r>
        </a:p>
        <a:p>
          <a:pPr algn="l" rtl="0">
            <a:lnSpc>
              <a:spcPts val="11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8</xdr:col>
      <xdr:colOff>142875</xdr:colOff>
      <xdr:row>233</xdr:row>
      <xdr:rowOff>66675</xdr:rowOff>
    </xdr:from>
    <xdr:to>
      <xdr:col>13</xdr:col>
      <xdr:colOff>400050</xdr:colOff>
      <xdr:row>267</xdr:row>
      <xdr:rowOff>180975</xdr:rowOff>
    </xdr:to>
    <xdr:pic>
      <xdr:nvPicPr>
        <xdr:cNvPr id="31688" name="Picture 301" descr="Stoker Boiler-1">
          <a:extLst>
            <a:ext uri="{FF2B5EF4-FFF2-40B4-BE49-F238E27FC236}">
              <a16:creationId xmlns:a16="http://schemas.microsoft.com/office/drawing/2014/main" id="{BA16EAC1-EBD1-939B-74C5-852592BC5E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48700" y="45996225"/>
          <a:ext cx="4762500" cy="678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96</xdr:row>
      <xdr:rowOff>133350</xdr:rowOff>
    </xdr:from>
    <xdr:to>
      <xdr:col>5</xdr:col>
      <xdr:colOff>638175</xdr:colOff>
      <xdr:row>105</xdr:row>
      <xdr:rowOff>47625</xdr:rowOff>
    </xdr:to>
    <xdr:pic>
      <xdr:nvPicPr>
        <xdr:cNvPr id="9977" name="Picture 1" descr="CAR WIND DRAG-1">
          <a:extLst>
            <a:ext uri="{FF2B5EF4-FFF2-40B4-BE49-F238E27FC236}">
              <a16:creationId xmlns:a16="http://schemas.microsoft.com/office/drawing/2014/main" id="{2ECE4FD9-DCD9-137E-8307-8425A2FDE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20335875"/>
          <a:ext cx="35052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688975</xdr:colOff>
      <xdr:row>106</xdr:row>
      <xdr:rowOff>0</xdr:rowOff>
    </xdr:from>
    <xdr:to>
      <xdr:col>8</xdr:col>
      <xdr:colOff>32</xdr:colOff>
      <xdr:row>116</xdr:row>
      <xdr:rowOff>114300</xdr:rowOff>
    </xdr:to>
    <xdr:sp macro="" textlink="">
      <xdr:nvSpPr>
        <xdr:cNvPr id="9218" name="Text Box 2">
          <a:extLst>
            <a:ext uri="{FF2B5EF4-FFF2-40B4-BE49-F238E27FC236}">
              <a16:creationId xmlns:a16="http://schemas.microsoft.com/office/drawing/2014/main" id="{16D16B44-B27C-E088-751C-83E8E85FF88A}"/>
            </a:ext>
          </a:extLst>
        </xdr:cNvPr>
        <xdr:cNvSpPr txBox="1">
          <a:spLocks noChangeArrowheads="1"/>
        </xdr:cNvSpPr>
      </xdr:nvSpPr>
      <xdr:spPr bwMode="auto">
        <a:xfrm>
          <a:off x="1241425" y="21717000"/>
          <a:ext cx="4930755" cy="20828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Car Wind Drag Example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Calculate the horse power required to overcome the wind drag on an automobile traveling at 90 km/hr if the drag coefficient Cd is 0.20 and the projected area is 2.30 m^2. Use sea level air density 1.225 kg/m^3.</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 </a:t>
          </a:r>
          <a:r>
            <a:rPr lang="en-US" sz="1200" b="0" i="0" u="none" strike="noStrike" baseline="0">
              <a:solidFill>
                <a:srgbClr val="000000"/>
              </a:solidFill>
              <a:latin typeface="Arial"/>
              <a:cs typeface="Arial"/>
            </a:rPr>
            <a:t> 5.90 hp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 </a:t>
          </a:r>
        </a:p>
      </xdr:txBody>
    </xdr:sp>
    <xdr:clientData/>
  </xdr:twoCellAnchor>
  <xdr:twoCellAnchor>
    <xdr:from>
      <xdr:col>1</xdr:col>
      <xdr:colOff>530225</xdr:colOff>
      <xdr:row>166</xdr:row>
      <xdr:rowOff>149225</xdr:rowOff>
    </xdr:from>
    <xdr:to>
      <xdr:col>5</xdr:col>
      <xdr:colOff>606425</xdr:colOff>
      <xdr:row>178</xdr:row>
      <xdr:rowOff>66688</xdr:rowOff>
    </xdr:to>
    <xdr:sp macro="" textlink="">
      <xdr:nvSpPr>
        <xdr:cNvPr id="9219" name="Text Box 3">
          <a:extLst>
            <a:ext uri="{FF2B5EF4-FFF2-40B4-BE49-F238E27FC236}">
              <a16:creationId xmlns:a16="http://schemas.microsoft.com/office/drawing/2014/main" id="{6219052B-128A-8F19-EEB0-946451C55776}"/>
            </a:ext>
          </a:extLst>
        </xdr:cNvPr>
        <xdr:cNvSpPr txBox="1">
          <a:spLocks noChangeArrowheads="1"/>
        </xdr:cNvSpPr>
      </xdr:nvSpPr>
      <xdr:spPr bwMode="auto">
        <a:xfrm>
          <a:off x="1073150" y="33807400"/>
          <a:ext cx="3657600" cy="2270125"/>
        </a:xfrm>
        <a:prstGeom prst="rect">
          <a:avLst/>
        </a:prstGeom>
        <a:solidFill>
          <a:srgbClr val="FFFFFF"/>
        </a:solidFill>
        <a:ln w="9525">
          <a:solidFill>
            <a:srgbClr val="000000"/>
          </a:solidFill>
          <a:miter lim="800000"/>
          <a:headEnd/>
          <a:tailEnd/>
        </a:ln>
      </xdr:spPr>
      <xdr:txBody>
        <a:bodyPr vertOverflow="clip" wrap="square" lIns="36576" tIns="27432" rIns="0" bIns="0" anchor="ctr" upright="1"/>
        <a:lstStyle/>
        <a:p>
          <a:pPr algn="ctr" rtl="0">
            <a:defRPr sz="1000"/>
          </a:pPr>
          <a:r>
            <a:rPr lang="en-US" sz="1400" b="1" i="0" u="none" strike="noStrike" baseline="0">
              <a:solidFill>
                <a:srgbClr val="000000"/>
              </a:solidFill>
              <a:latin typeface="Arial"/>
              <a:cs typeface="Arial"/>
            </a:rPr>
            <a:t>Drive Shaft Torque Example</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drive shaft of an automobile delivers 100 Nm of torque at 3000 rpm.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Calculate the horsepower delivered.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Answer:  42.1 hp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 </a:t>
          </a:r>
        </a:p>
      </xdr:txBody>
    </xdr:sp>
    <xdr:clientData/>
  </xdr:twoCellAnchor>
  <xdr:twoCellAnchor>
    <xdr:from>
      <xdr:col>1</xdr:col>
      <xdr:colOff>492125</xdr:colOff>
      <xdr:row>82</xdr:row>
      <xdr:rowOff>76200</xdr:rowOff>
    </xdr:from>
    <xdr:to>
      <xdr:col>5</xdr:col>
      <xdr:colOff>977900</xdr:colOff>
      <xdr:row>92</xdr:row>
      <xdr:rowOff>95250</xdr:rowOff>
    </xdr:to>
    <xdr:sp macro="" textlink="">
      <xdr:nvSpPr>
        <xdr:cNvPr id="9220" name="Text Box 4">
          <a:extLst>
            <a:ext uri="{FF2B5EF4-FFF2-40B4-BE49-F238E27FC236}">
              <a16:creationId xmlns:a16="http://schemas.microsoft.com/office/drawing/2014/main" id="{AD30033E-2E34-1C35-B172-65DD5A157923}"/>
            </a:ext>
          </a:extLst>
        </xdr:cNvPr>
        <xdr:cNvSpPr txBox="1">
          <a:spLocks noChangeArrowheads="1"/>
        </xdr:cNvSpPr>
      </xdr:nvSpPr>
      <xdr:spPr bwMode="auto">
        <a:xfrm>
          <a:off x="1012825" y="16979900"/>
          <a:ext cx="4391025" cy="19875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Specific Heat Ratio for Air</a:t>
          </a:r>
          <a:endParaRPr lang="en-US" sz="14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at constant volume,    Cv = 0.717 kj/kg deg C</a:t>
          </a:r>
        </a:p>
        <a:p>
          <a:pPr algn="l" rtl="0">
            <a:defRPr sz="1000"/>
          </a:pPr>
          <a:r>
            <a:rPr lang="en-US" sz="1200" b="1" i="0" u="none" strike="noStrike" baseline="0">
              <a:solidFill>
                <a:srgbClr val="000000"/>
              </a:solidFill>
              <a:latin typeface="Arial"/>
              <a:cs typeface="Arial"/>
            </a:rPr>
            <a:t>                                                         Cv = 0.171 Btu/lbm deg R</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at constant pressure,  Cp = 1.00 kj/kg deg C</a:t>
          </a:r>
        </a:p>
        <a:p>
          <a:pPr algn="l" rtl="0">
            <a:defRPr sz="1000"/>
          </a:pPr>
          <a:r>
            <a:rPr lang="en-US" sz="1200" b="1" i="0" u="none" strike="noStrike" baseline="0">
              <a:solidFill>
                <a:srgbClr val="000000"/>
              </a:solidFill>
              <a:latin typeface="Arial"/>
              <a:cs typeface="Arial"/>
            </a:rPr>
            <a:t>                                                         Cp = 0.24 Btu/lbm deg R</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ratio for air,  k = Cp/Cv = 1.4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650875</xdr:colOff>
      <xdr:row>399</xdr:row>
      <xdr:rowOff>98424</xdr:rowOff>
    </xdr:from>
    <xdr:to>
      <xdr:col>3</xdr:col>
      <xdr:colOff>50800</xdr:colOff>
      <xdr:row>424</xdr:row>
      <xdr:rowOff>104775</xdr:rowOff>
    </xdr:to>
    <xdr:sp macro="" textlink="">
      <xdr:nvSpPr>
        <xdr:cNvPr id="1475" name="Text Box 18">
          <a:extLst>
            <a:ext uri="{FF2B5EF4-FFF2-40B4-BE49-F238E27FC236}">
              <a16:creationId xmlns:a16="http://schemas.microsoft.com/office/drawing/2014/main" id="{894C9C55-7E9B-276E-A709-570F5B3B53B5}"/>
            </a:ext>
          </a:extLst>
        </xdr:cNvPr>
        <xdr:cNvSpPr txBox="1">
          <a:spLocks noChangeArrowheads="1"/>
        </xdr:cNvSpPr>
      </xdr:nvSpPr>
      <xdr:spPr bwMode="auto">
        <a:xfrm>
          <a:off x="1177925" y="79340074"/>
          <a:ext cx="4213225" cy="4927601"/>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Ideal Carnot Power Cycle Efficiency</a:t>
          </a:r>
        </a:p>
        <a:p>
          <a:pPr algn="ctr"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second law of thermodynamics puts a fundamental limit on the thermal efficiency of heat engines. Surprisingly, even an ideal, frictionless engine cannot convert anywhere near 100% of its input heat into work.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limiting factors are the absolute temperature at which the heat enters the engine, T</a:t>
          </a:r>
          <a:r>
            <a:rPr lang="en-US" sz="1200" b="0" i="0" u="none" strike="noStrike" baseline="-25000">
              <a:solidFill>
                <a:srgbClr val="000000"/>
              </a:solidFill>
              <a:latin typeface="Arial"/>
              <a:cs typeface="Arial"/>
            </a:rPr>
            <a:t>low</a:t>
          </a:r>
          <a:r>
            <a:rPr lang="en-US" sz="1200" b="0" i="0" u="none" strike="noStrike" baseline="0">
              <a:solidFill>
                <a:srgbClr val="000000"/>
              </a:solidFill>
              <a:latin typeface="Arial"/>
              <a:cs typeface="Arial"/>
            </a:rPr>
            <a:t>, and the absolute temperature of the environment into which the engine exhausts its waste heat, T</a:t>
          </a:r>
          <a:r>
            <a:rPr lang="en-US" sz="1200" b="0" i="0" u="none" strike="noStrike" baseline="-25000">
              <a:solidFill>
                <a:srgbClr val="000000"/>
              </a:solidFill>
              <a:latin typeface="Arial"/>
              <a:cs typeface="Arial"/>
            </a:rPr>
            <a:t>high</a:t>
          </a:r>
          <a:r>
            <a:rPr lang="en-US" sz="1200" b="0" i="0" u="none" strike="noStrike" baseline="0">
              <a:solidFill>
                <a:srgbClr val="000000"/>
              </a:solidFill>
              <a:latin typeface="Arial"/>
              <a:cs typeface="Arial"/>
            </a:rPr>
            <a:t>, measured in the absolute Kelvin or Rankin scale.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From Carnot's theorem, for any engine working between these two temperatures:</a:t>
          </a:r>
        </a:p>
        <a:p>
          <a:pPr algn="l" rtl="0">
            <a:defRPr sz="1000"/>
          </a:pPr>
          <a:endParaRPr lang="en-US" sz="1200" b="0" i="0" u="none" strike="noStrike" baseline="0">
            <a:solidFill>
              <a:srgbClr val="000000"/>
            </a:solidFill>
            <a:latin typeface="Arial"/>
            <a:cs typeface="Arial"/>
          </a:endParaRPr>
        </a:p>
        <a:p>
          <a:pPr algn="l" rtl="0">
            <a:defRPr sz="1000"/>
          </a:pPr>
          <a:r>
            <a:rPr lang="en-US" sz="1400" b="0" i="0" u="none" strike="noStrike" baseline="0">
              <a:solidFill>
                <a:srgbClr val="000000"/>
              </a:solidFill>
              <a:latin typeface="Arial"/>
              <a:cs typeface="Arial"/>
            </a:rPr>
            <a:t>  </a:t>
          </a:r>
          <a:r>
            <a:rPr lang="en-US" sz="1400" b="1" i="0" u="none" strike="noStrike" baseline="0">
              <a:solidFill>
                <a:srgbClr val="000000"/>
              </a:solidFill>
              <a:latin typeface="Arial"/>
              <a:cs typeface="Arial"/>
            </a:rPr>
            <a:t> </a:t>
          </a:r>
          <a:r>
            <a:rPr lang="el-GR" sz="1400" b="1" i="0" u="none" strike="noStrike" baseline="0">
              <a:solidFill>
                <a:srgbClr val="000000"/>
              </a:solidFill>
              <a:latin typeface="Arial"/>
              <a:cs typeface="Arial"/>
            </a:rPr>
            <a:t>η</a:t>
          </a:r>
          <a:r>
            <a:rPr lang="en-US" sz="1400" b="1" i="0" u="none" strike="noStrike" baseline="0">
              <a:solidFill>
                <a:srgbClr val="000000"/>
              </a:solidFill>
              <a:latin typeface="Arial"/>
              <a:cs typeface="Arial"/>
            </a:rPr>
            <a:t>th = 1- T</a:t>
          </a:r>
          <a:r>
            <a:rPr lang="en-US" sz="1400" b="1" i="0" u="none" strike="noStrike" baseline="-25000">
              <a:solidFill>
                <a:srgbClr val="000000"/>
              </a:solidFill>
              <a:latin typeface="Arial"/>
              <a:cs typeface="Arial"/>
            </a:rPr>
            <a:t>low</a:t>
          </a:r>
          <a:r>
            <a:rPr lang="en-US" sz="1400" b="1" i="0" u="none" strike="noStrike" baseline="0">
              <a:solidFill>
                <a:srgbClr val="000000"/>
              </a:solidFill>
              <a:latin typeface="Arial"/>
              <a:cs typeface="Arial"/>
            </a:rPr>
            <a:t> / T</a:t>
          </a:r>
          <a:r>
            <a:rPr lang="en-US" sz="1400" b="1" i="0" u="none" strike="noStrike" baseline="-25000">
              <a:solidFill>
                <a:srgbClr val="000000"/>
              </a:solidFill>
              <a:latin typeface="Arial"/>
              <a:cs typeface="Arial"/>
            </a:rPr>
            <a:t>high</a:t>
          </a: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This limiting value is called the Carnot cycle efficiency because it is the efficiency of an unattainable, ideal, reversible engine cycle called the Carnot cycle.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No heat engine, regardless of its construction, can exceed this efficiency.</a:t>
          </a:r>
        </a:p>
      </xdr:txBody>
    </xdr:sp>
    <xdr:clientData/>
  </xdr:twoCellAnchor>
  <xdr:twoCellAnchor>
    <xdr:from>
      <xdr:col>1</xdr:col>
      <xdr:colOff>288925</xdr:colOff>
      <xdr:row>261</xdr:row>
      <xdr:rowOff>127001</xdr:rowOff>
    </xdr:from>
    <xdr:to>
      <xdr:col>3</xdr:col>
      <xdr:colOff>1016000</xdr:colOff>
      <xdr:row>304</xdr:row>
      <xdr:rowOff>82551</xdr:rowOff>
    </xdr:to>
    <xdr:sp macro="" textlink="">
      <xdr:nvSpPr>
        <xdr:cNvPr id="1479" name="Text Box 22">
          <a:extLst>
            <a:ext uri="{FF2B5EF4-FFF2-40B4-BE49-F238E27FC236}">
              <a16:creationId xmlns:a16="http://schemas.microsoft.com/office/drawing/2014/main" id="{1665783B-6ADE-0D74-753B-7C2F231F7D78}"/>
            </a:ext>
          </a:extLst>
        </xdr:cNvPr>
        <xdr:cNvSpPr txBox="1">
          <a:spLocks noChangeArrowheads="1"/>
        </xdr:cNvSpPr>
      </xdr:nvSpPr>
      <xdr:spPr bwMode="auto">
        <a:xfrm>
          <a:off x="815975" y="52171601"/>
          <a:ext cx="5540375" cy="84201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Ideal Carnot Cycle continued</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cylinder with piston above contains an ideal gas at an initial pressure of 2 atmospheres.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Point A:</a:t>
          </a:r>
          <a:r>
            <a:rPr lang="en-US" sz="1200" b="0" i="0" u="none" strike="noStrike" baseline="0">
              <a:solidFill>
                <a:srgbClr val="000000"/>
              </a:solidFill>
              <a:latin typeface="Arial"/>
              <a:cs typeface="Arial"/>
            </a:rPr>
            <a:t>  The gas volume is 5 liters and temperature of 250 degrees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number of moles: </a:t>
          </a:r>
        </a:p>
        <a:p>
          <a:pPr algn="l" rtl="0">
            <a:defRPr sz="1000"/>
          </a:pPr>
          <a:r>
            <a:rPr lang="en-US" sz="1200" b="0" i="0" u="none" strike="noStrike" baseline="0">
              <a:solidFill>
                <a:srgbClr val="000000"/>
              </a:solidFill>
              <a:latin typeface="Arial"/>
              <a:cs typeface="Arial"/>
            </a:rPr>
            <a:t>            n = PV / RT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2 atm x 5 liters / ((0.0821 liter*atm*mole-1 * K deg-1) x (250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0.487 mole</a:t>
          </a:r>
        </a:p>
        <a:p>
          <a:pPr algn="l" rtl="0">
            <a:defRPr sz="1000"/>
          </a:pPr>
          <a:r>
            <a:rPr lang="en-US" sz="1200" b="0" i="0" u="none" strike="noStrike" baseline="0">
              <a:solidFill>
                <a:srgbClr val="000000"/>
              </a:solidFill>
              <a:latin typeface="Arial"/>
              <a:cs typeface="Arial"/>
            </a:rPr>
            <a:t>The specific heat Cp at constant pressure is:</a:t>
          </a:r>
        </a:p>
        <a:p>
          <a:pPr algn="l" rtl="0">
            <a:defRPr sz="1000"/>
          </a:pPr>
          <a:r>
            <a:rPr lang="en-US" sz="1200" b="0" i="0" u="none" strike="noStrike" baseline="0">
              <a:solidFill>
                <a:srgbClr val="000000"/>
              </a:solidFill>
              <a:latin typeface="Arial"/>
              <a:cs typeface="Arial"/>
            </a:rPr>
            <a:t>               Cp = Cv + R = (21.0 + 8.317) J*mole-1*K deg-1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29.317 J*mole-1*K deg-1</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 to B:</a:t>
          </a:r>
          <a:r>
            <a:rPr lang="en-US" sz="1200" b="0" i="0" u="none" strike="noStrike" baseline="0">
              <a:solidFill>
                <a:srgbClr val="000000"/>
              </a:solidFill>
              <a:latin typeface="Arial"/>
              <a:cs typeface="Arial"/>
            </a:rPr>
            <a:t>  The gas is heated at constant volume to a pressure of 4 atmospheres.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Universal gas law states that:</a:t>
          </a:r>
        </a:p>
        <a:p>
          <a:pPr algn="l" rtl="0">
            <a:defRPr sz="1000"/>
          </a:pPr>
          <a:r>
            <a:rPr lang="en-US" sz="1200" b="0" i="0" u="none" strike="noStrike" baseline="0">
              <a:solidFill>
                <a:srgbClr val="000000"/>
              </a:solidFill>
              <a:latin typeface="Arial"/>
              <a:cs typeface="Arial"/>
            </a:rPr>
            <a:t>  Pa Va / Ta = Pb Vb / Tb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Pa / Ta = Pb / Tb .........since volume is constant.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Tb = Ta Pb / Pa =250 deg K x 4 atm / 2 atm = 500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heat input  Qab = n CV(Tb - Ta)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0.487 mole x 21.0 J*mole-1*K deg-1 x (500 - 250)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2558 J</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B to C:</a:t>
          </a:r>
          <a:r>
            <a:rPr lang="en-US" sz="1200" b="0" i="0" u="none" strike="noStrike" baseline="0">
              <a:solidFill>
                <a:srgbClr val="000000"/>
              </a:solidFill>
              <a:latin typeface="Arial"/>
              <a:cs typeface="Arial"/>
            </a:rPr>
            <a:t>  The gas is heated at constant pressure to a  temperature of 650 degrees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Vb / Tb = Vc / Tc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Vc = Tc Vb / Tb = 650 deg K x 5 lit / 500 deg K = 6.5 liters.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heat input  Qbc = n CV(Tc - Tb)</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0.487 mole x 29.317 J*mole-1*K deg-1 x (650 - 500)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2143 J </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1019175</xdr:colOff>
      <xdr:row>371</xdr:row>
      <xdr:rowOff>171450</xdr:rowOff>
    </xdr:from>
    <xdr:to>
      <xdr:col>2</xdr:col>
      <xdr:colOff>371475</xdr:colOff>
      <xdr:row>398</xdr:row>
      <xdr:rowOff>67310</xdr:rowOff>
    </xdr:to>
    <xdr:pic>
      <xdr:nvPicPr>
        <xdr:cNvPr id="32479" name="Picture 23" descr="Carnot Power Cycle-1">
          <a:extLst>
            <a:ext uri="{FF2B5EF4-FFF2-40B4-BE49-F238E27FC236}">
              <a16:creationId xmlns:a16="http://schemas.microsoft.com/office/drawing/2014/main" id="{A4C92064-A547-66AB-7E92-F4E3E51B2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72437625"/>
          <a:ext cx="2895600" cy="5039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251</xdr:row>
      <xdr:rowOff>19050</xdr:rowOff>
    </xdr:from>
    <xdr:to>
      <xdr:col>4</xdr:col>
      <xdr:colOff>76200</xdr:colOff>
      <xdr:row>261</xdr:row>
      <xdr:rowOff>85725</xdr:rowOff>
    </xdr:to>
    <xdr:pic>
      <xdr:nvPicPr>
        <xdr:cNvPr id="32480" name="Picture 27" descr="CYLINDER + PISTON-1">
          <a:extLst>
            <a:ext uri="{FF2B5EF4-FFF2-40B4-BE49-F238E27FC236}">
              <a16:creationId xmlns:a16="http://schemas.microsoft.com/office/drawing/2014/main" id="{DD435078-9B03-3EAB-978F-7EDEC796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1025" y="48844200"/>
          <a:ext cx="17621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76517</xdr:colOff>
      <xdr:row>305</xdr:row>
      <xdr:rowOff>184150</xdr:rowOff>
    </xdr:from>
    <xdr:to>
      <xdr:col>2</xdr:col>
      <xdr:colOff>476278</xdr:colOff>
      <xdr:row>318</xdr:row>
      <xdr:rowOff>9525</xdr:rowOff>
    </xdr:to>
    <xdr:pic>
      <xdr:nvPicPr>
        <xdr:cNvPr id="32481" name="Picture 29" descr="Carnot Power Cycle-2">
          <a:extLst>
            <a:ext uri="{FF2B5EF4-FFF2-40B4-BE49-F238E27FC236}">
              <a16:creationId xmlns:a16="http://schemas.microsoft.com/office/drawing/2014/main" id="{1BCB9C0A-0D8F-115A-FB58-6FDA4498B3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3567" y="60890150"/>
          <a:ext cx="4114511" cy="238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319</xdr:row>
      <xdr:rowOff>114300</xdr:rowOff>
    </xdr:from>
    <xdr:to>
      <xdr:col>3</xdr:col>
      <xdr:colOff>927100</xdr:colOff>
      <xdr:row>368</xdr:row>
      <xdr:rowOff>19050</xdr:rowOff>
    </xdr:to>
    <xdr:sp macro="" textlink="">
      <xdr:nvSpPr>
        <xdr:cNvPr id="1483" name="Text Box 30">
          <a:extLst>
            <a:ext uri="{FF2B5EF4-FFF2-40B4-BE49-F238E27FC236}">
              <a16:creationId xmlns:a16="http://schemas.microsoft.com/office/drawing/2014/main" id="{11ED80F1-B6B2-B5A0-F706-C90749137243}"/>
            </a:ext>
          </a:extLst>
        </xdr:cNvPr>
        <xdr:cNvSpPr txBox="1">
          <a:spLocks noChangeArrowheads="1"/>
        </xdr:cNvSpPr>
      </xdr:nvSpPr>
      <xdr:spPr bwMode="auto">
        <a:xfrm>
          <a:off x="631825" y="63576200"/>
          <a:ext cx="5635625" cy="95504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Ideal Carnot Cycle continued</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to D:  The gas is cooled at constant volume to its original temperature.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Pc / Tc = Pd / Td</a:t>
          </a:r>
        </a:p>
        <a:p>
          <a:pPr algn="l" rtl="0">
            <a:defRPr sz="1000"/>
          </a:pP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               Td = Pd Tc / Pc = 2 atm x 650 deg K /  4 atm = 325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Heat rejected from c to d: Qcd = n CV(Tc - Td)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0.487 mole x 21.0 J*mole-1*K deg-1 x (650 - 325)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3325 J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to A:  The gas is cooled at constant pressure to its original volume.</a:t>
          </a:r>
        </a:p>
        <a:p>
          <a:pPr algn="l" rtl="0">
            <a:defRPr sz="1000"/>
          </a:pP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     Vd / Td = Va / Ta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Ta = Va Td / Vd = 5 lit x 325 deg K / 6.5 lit = 250 deg K</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Qad = n Cp ( Td - Ta) = 0.487 mole x 29.317 J*mole-1 K deg-1 x (325 - 250) deg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1072 J</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Calculate the total heat input: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Qin = Qab + Qbc = 2558 J  + 2143 J = 4701 J</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Calculate the total heat output during the cooling process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Qout = Qcd + Qda = 3325 J + 1072 J = 4397 J</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The work done by the gas is equal to the difference between the: input and output heat energies.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W = Qin - Qout = 4701 J - 4397 J = 304 J</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The mechanical work done during one cycle is equal to the area under the P-V diagram.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W = 2 atm x 1.5 lit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2 x 1.013 x 106 dynes*cm-2 x 105 x 103 cm3</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 3.04 x 109 ergs = 304 J</a:t>
          </a:r>
        </a:p>
        <a:p>
          <a:pPr algn="l" rtl="0">
            <a:defRPr sz="1000"/>
          </a:pP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    which agrees with the net heat input.</a:t>
          </a:r>
        </a:p>
      </xdr:txBody>
    </xdr:sp>
    <xdr:clientData/>
  </xdr:twoCellAnchor>
  <xdr:twoCellAnchor editAs="oneCell">
    <xdr:from>
      <xdr:col>1</xdr:col>
      <xdr:colOff>342900</xdr:colOff>
      <xdr:row>251</xdr:row>
      <xdr:rowOff>76199</xdr:rowOff>
    </xdr:from>
    <xdr:to>
      <xdr:col>1</xdr:col>
      <xdr:colOff>3477027</xdr:colOff>
      <xdr:row>260</xdr:row>
      <xdr:rowOff>161924</xdr:rowOff>
    </xdr:to>
    <xdr:pic>
      <xdr:nvPicPr>
        <xdr:cNvPr id="32483" name="Picture 31" descr="Carnot Power Cycle-2">
          <a:extLst>
            <a:ext uri="{FF2B5EF4-FFF2-40B4-BE49-F238E27FC236}">
              <a16:creationId xmlns:a16="http://schemas.microsoft.com/office/drawing/2014/main" id="{5B41BD22-21B7-52EF-FE8B-1776E92A8C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 y="48901349"/>
          <a:ext cx="3134127"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720725</xdr:colOff>
      <xdr:row>305</xdr:row>
      <xdr:rowOff>95250</xdr:rowOff>
    </xdr:from>
    <xdr:to>
      <xdr:col>4</xdr:col>
      <xdr:colOff>873075</xdr:colOff>
      <xdr:row>318</xdr:row>
      <xdr:rowOff>152400</xdr:rowOff>
    </xdr:to>
    <xdr:pic>
      <xdr:nvPicPr>
        <xdr:cNvPr id="32484" name="Picture 32" descr="CYLINDER + PISTON-1">
          <a:extLst>
            <a:ext uri="{FF2B5EF4-FFF2-40B4-BE49-F238E27FC236}">
              <a16:creationId xmlns:a16="http://schemas.microsoft.com/office/drawing/2014/main" id="{444B3B9C-91B9-223E-BB50-366C9F634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60801250"/>
          <a:ext cx="2279600" cy="261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231</xdr:row>
      <xdr:rowOff>114300</xdr:rowOff>
    </xdr:from>
    <xdr:to>
      <xdr:col>3</xdr:col>
      <xdr:colOff>609600</xdr:colOff>
      <xdr:row>236</xdr:row>
      <xdr:rowOff>0</xdr:rowOff>
    </xdr:to>
    <xdr:pic>
      <xdr:nvPicPr>
        <xdr:cNvPr id="32485" name="Picture 35" descr="Image2065">
          <a:extLst>
            <a:ext uri="{FF2B5EF4-FFF2-40B4-BE49-F238E27FC236}">
              <a16:creationId xmlns:a16="http://schemas.microsoft.com/office/drawing/2014/main" id="{79159B57-C4DB-636E-84CB-53787AC1C8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95450" y="60998100"/>
          <a:ext cx="40100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1323975</xdr:colOff>
      <xdr:row>236</xdr:row>
      <xdr:rowOff>114300</xdr:rowOff>
    </xdr:from>
    <xdr:to>
      <xdr:col>2</xdr:col>
      <xdr:colOff>1009650</xdr:colOff>
      <xdr:row>241</xdr:row>
      <xdr:rowOff>9525</xdr:rowOff>
    </xdr:to>
    <xdr:pic>
      <xdr:nvPicPr>
        <xdr:cNvPr id="32486" name="Picture 36" descr="Image2066">
          <a:extLst>
            <a:ext uri="{FF2B5EF4-FFF2-40B4-BE49-F238E27FC236}">
              <a16:creationId xmlns:a16="http://schemas.microsoft.com/office/drawing/2014/main" id="{FF2520CE-6096-5B37-98E1-A866BBF52D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28800" y="61950600"/>
          <a:ext cx="32289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467</xdr:row>
      <xdr:rowOff>19050</xdr:rowOff>
    </xdr:from>
    <xdr:to>
      <xdr:col>1</xdr:col>
      <xdr:colOff>3162300</xdr:colOff>
      <xdr:row>475</xdr:row>
      <xdr:rowOff>142875</xdr:rowOff>
    </xdr:to>
    <xdr:pic>
      <xdr:nvPicPr>
        <xdr:cNvPr id="32487" name="Picture 29" descr="Carnot Power Cycle-2">
          <a:extLst>
            <a:ext uri="{FF2B5EF4-FFF2-40B4-BE49-F238E27FC236}">
              <a16:creationId xmlns:a16="http://schemas.microsoft.com/office/drawing/2014/main" id="{BC7E0CB0-1251-E39E-DB41-A3A8BAE25C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 y="105613200"/>
          <a:ext cx="275272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465</xdr:row>
      <xdr:rowOff>57150</xdr:rowOff>
    </xdr:from>
    <xdr:to>
      <xdr:col>3</xdr:col>
      <xdr:colOff>952500</xdr:colOff>
      <xdr:row>476</xdr:row>
      <xdr:rowOff>9525</xdr:rowOff>
    </xdr:to>
    <xdr:pic>
      <xdr:nvPicPr>
        <xdr:cNvPr id="32488" name="Picture 32" descr="CYLINDER + PISTON-1">
          <a:extLst>
            <a:ext uri="{FF2B5EF4-FFF2-40B4-BE49-F238E27FC236}">
              <a16:creationId xmlns:a16="http://schemas.microsoft.com/office/drawing/2014/main" id="{AEE8C189-B0F4-41AD-2DCE-020FF13ECD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0" y="105270300"/>
          <a:ext cx="17621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127000</xdr:colOff>
      <xdr:row>177</xdr:row>
      <xdr:rowOff>60325</xdr:rowOff>
    </xdr:from>
    <xdr:to>
      <xdr:col>4</xdr:col>
      <xdr:colOff>266700</xdr:colOff>
      <xdr:row>215</xdr:row>
      <xdr:rowOff>171450</xdr:rowOff>
    </xdr:to>
    <xdr:sp macro="" textlink="">
      <xdr:nvSpPr>
        <xdr:cNvPr id="1530" name="Text Box 506">
          <a:extLst>
            <a:ext uri="{FF2B5EF4-FFF2-40B4-BE49-F238E27FC236}">
              <a16:creationId xmlns:a16="http://schemas.microsoft.com/office/drawing/2014/main" id="{F8367DE1-9E80-4261-DF6C-3D1EFABEBB45}"/>
            </a:ext>
          </a:extLst>
        </xdr:cNvPr>
        <xdr:cNvSpPr txBox="1">
          <a:spLocks noChangeArrowheads="1"/>
        </xdr:cNvSpPr>
      </xdr:nvSpPr>
      <xdr:spPr bwMode="auto">
        <a:xfrm>
          <a:off x="631825" y="35340925"/>
          <a:ext cx="5711825" cy="73501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Entropy</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"In thermodynamics, entropy is a measure of how much of the energy of a system is potentially available to do work and how much of it is potentially manifest as heat."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 classical thermodynamics, the entropy is defined only for a system in thermodynamic equilibrium.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thermodynamic system is any physical object or region of space that can be described by its thermodynamic quantities such as temperature, pressure, volume and density.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 simple terms, the second law of thermodynamics states that for a system, the differences in intensive thermodynamic quantities such as: temperature, pressure, and chemical potential tend to become more uniform as time goes by, unless there is an outside influence which works to maintain the differences.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entropy of vaporization is the increase in entropy when vaporizing a substance.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is always positive since the degree of disorder increases in the transition from an organized crystalline solid or a slightly less organized liquid to the extremely disorganized structure of a gas.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It is denoted as </a:t>
          </a:r>
          <a:r>
            <a:rPr lang="el-GR" sz="1200" b="0" i="0" u="none" strike="noStrike" baseline="0">
              <a:solidFill>
                <a:srgbClr val="000000"/>
              </a:solidFill>
              <a:latin typeface="Arial"/>
              <a:cs typeface="Arial"/>
            </a:rPr>
            <a:t>Δ</a:t>
          </a:r>
          <a:r>
            <a:rPr lang="en-US" sz="1200" b="0" i="0" u="none" strike="noStrike" baseline="0">
              <a:solidFill>
                <a:srgbClr val="000000"/>
              </a:solidFill>
              <a:latin typeface="Arial"/>
              <a:cs typeface="Arial"/>
            </a:rPr>
            <a:t>Sovap and normally expressed in J/mol·K.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natural process such as a phase change will occur when the associated change in the Gibbs free energy is negative. It follows that the standard entropy change of vaporization is related to the boiling point and the standard enthalpy change of vaporization:</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The entropy of fusion is the increase in entropy when melting a substance. This is always positive since the degree of disorder increases in the transition from an organized crystalline solid to the disorganized structure of a liquid. It is denoted as </a:t>
          </a:r>
          <a:r>
            <a:rPr lang="el-GR" sz="1200" b="0" i="0" u="none" strike="noStrike" baseline="0">
              <a:solidFill>
                <a:srgbClr val="000000"/>
              </a:solidFill>
              <a:latin typeface="Arial"/>
              <a:cs typeface="Arial"/>
            </a:rPr>
            <a:t>Δ</a:t>
          </a:r>
          <a:r>
            <a:rPr lang="en-US" sz="1200" b="0" i="0" u="none" strike="noStrike" baseline="0">
              <a:solidFill>
                <a:srgbClr val="000000"/>
              </a:solidFill>
              <a:latin typeface="Arial"/>
              <a:cs typeface="Arial"/>
            </a:rPr>
            <a:t>Sfus and normally expressed in J / mol · K</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natural process such as a phase change will occur when the associated change in the Gibbs free energy is negative. It follows that the entropy of fusion is related to the melting point and the heat of fusion." Wikapedia</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390525</xdr:colOff>
      <xdr:row>494</xdr:row>
      <xdr:rowOff>57150</xdr:rowOff>
    </xdr:from>
    <xdr:to>
      <xdr:col>4</xdr:col>
      <xdr:colOff>76200</xdr:colOff>
      <xdr:row>505</xdr:row>
      <xdr:rowOff>133350</xdr:rowOff>
    </xdr:to>
    <xdr:pic>
      <xdr:nvPicPr>
        <xdr:cNvPr id="32490" name="Picture 520" descr="GLOBE VALVE + ORIFICE-1">
          <a:extLst>
            <a:ext uri="{FF2B5EF4-FFF2-40B4-BE49-F238E27FC236}">
              <a16:creationId xmlns:a16="http://schemas.microsoft.com/office/drawing/2014/main" id="{ACAC7273-2432-B006-43DD-400A168564F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 y="110851950"/>
          <a:ext cx="52578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327025</xdr:colOff>
      <xdr:row>507</xdr:row>
      <xdr:rowOff>28575</xdr:rowOff>
    </xdr:from>
    <xdr:to>
      <xdr:col>4</xdr:col>
      <xdr:colOff>558795</xdr:colOff>
      <xdr:row>532</xdr:row>
      <xdr:rowOff>152400</xdr:rowOff>
    </xdr:to>
    <xdr:sp macro="" textlink="">
      <xdr:nvSpPr>
        <xdr:cNvPr id="1546" name="Text Box 522">
          <a:extLst>
            <a:ext uri="{FF2B5EF4-FFF2-40B4-BE49-F238E27FC236}">
              <a16:creationId xmlns:a16="http://schemas.microsoft.com/office/drawing/2014/main" id="{B4C6B889-20B1-2706-A954-F5C73A0A9754}"/>
            </a:ext>
          </a:extLst>
        </xdr:cNvPr>
        <xdr:cNvSpPr txBox="1">
          <a:spLocks noChangeArrowheads="1"/>
        </xdr:cNvSpPr>
      </xdr:nvSpPr>
      <xdr:spPr bwMode="auto">
        <a:xfrm>
          <a:off x="831850" y="98764725"/>
          <a:ext cx="5803895" cy="48863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Throttling Device</a:t>
          </a:r>
        </a:p>
        <a:p>
          <a:pPr algn="ctr" rtl="0">
            <a:defRPr sz="1000"/>
          </a:pPr>
          <a:endParaRPr lang="en-US" sz="10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orifice plate and globe valve are examples of steady flow adiabatic processes that produce a sudden pressure drop with no significant potential energy or kinetic energy change.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minimum straight run of 15 nominal pipe diameters upstream and 5 downstream are needed to accurately measure flow rate with the orifice plate.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valves are throttling devices. They are use in many refrigeration units to cause a change in phase of the refrigerant.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energy equation takes the form:  ha = hb</a:t>
          </a:r>
        </a:p>
        <a:p>
          <a:pPr algn="l" rtl="0">
            <a:defRPr sz="1000"/>
          </a:pPr>
          <a:r>
            <a:rPr lang="en-US" sz="1200" b="0" i="0" u="none" strike="noStrike" baseline="0">
              <a:solidFill>
                <a:srgbClr val="000000"/>
              </a:solidFill>
              <a:latin typeface="Arial"/>
              <a:cs typeface="Arial"/>
            </a:rPr>
            <a:t>a is upstream and b downstream.</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Example: Throttling Device</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Superheated steam enters throttling valve 8.00 MPa and 296 deg C and leaves at a pressure of 1.60 MkPa.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Determine the steam enthalpy upstream, final downstream temperature, specific volume downstream.</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Solution</a:t>
          </a:r>
        </a:p>
        <a:p>
          <a:pPr algn="l" rtl="0">
            <a:defRPr sz="1000"/>
          </a:pPr>
          <a:r>
            <a:rPr lang="en-US" sz="1200" b="0" i="0" u="none" strike="noStrike" baseline="0">
              <a:solidFill>
                <a:srgbClr val="000000"/>
              </a:solidFill>
              <a:latin typeface="Arial"/>
              <a:cs typeface="Arial"/>
            </a:rPr>
            <a:t>Final temperature is 201.4 deg C and the specific volume is 0.0232 m^3/kg.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similar problems.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1177925</xdr:colOff>
      <xdr:row>576</xdr:row>
      <xdr:rowOff>76200</xdr:rowOff>
    </xdr:from>
    <xdr:to>
      <xdr:col>5</xdr:col>
      <xdr:colOff>85748</xdr:colOff>
      <xdr:row>598</xdr:row>
      <xdr:rowOff>168275</xdr:rowOff>
    </xdr:to>
    <xdr:sp macro="" textlink="">
      <xdr:nvSpPr>
        <xdr:cNvPr id="1551" name="Text Box 527">
          <a:extLst>
            <a:ext uri="{FF2B5EF4-FFF2-40B4-BE49-F238E27FC236}">
              <a16:creationId xmlns:a16="http://schemas.microsoft.com/office/drawing/2014/main" id="{189A6EE7-6D43-D24E-0C02-99031F3F42DC}"/>
            </a:ext>
          </a:extLst>
        </xdr:cNvPr>
        <xdr:cNvSpPr txBox="1">
          <a:spLocks noChangeArrowheads="1"/>
        </xdr:cNvSpPr>
      </xdr:nvSpPr>
      <xdr:spPr bwMode="auto">
        <a:xfrm>
          <a:off x="1704975" y="114623850"/>
          <a:ext cx="5657873" cy="44227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Pumps</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pressure of a fluid passing through a pump is increased and energy must be supplied to the pump.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Neglecting heat transfer and potential energy change the energy equation for a pump is:</a:t>
          </a:r>
        </a:p>
        <a:p>
          <a:pPr algn="l" rtl="0">
            <a:defRPr sz="1000"/>
          </a:pPr>
          <a:r>
            <a:rPr lang="en-US" sz="1200" b="0" i="0" u="none" strike="noStrike" baseline="0">
              <a:solidFill>
                <a:srgbClr val="000000"/>
              </a:solidFill>
              <a:latin typeface="Arial"/>
              <a:cs typeface="Arial"/>
            </a:rPr>
            <a:t>         Power = -dW/dt = dm/dt*[(PA - PB) / </a:t>
          </a:r>
          <a:r>
            <a:rPr lang="el-GR" sz="1200" b="0" i="0" u="none" strike="noStrike" baseline="0">
              <a:solidFill>
                <a:srgbClr val="000000"/>
              </a:solidFill>
              <a:latin typeface="Arial"/>
              <a:cs typeface="Arial"/>
            </a:rPr>
            <a:t>ρ + (</a:t>
          </a:r>
          <a:r>
            <a:rPr lang="en-US" sz="1200" b="0" i="0" u="none" strike="noStrike" baseline="0">
              <a:solidFill>
                <a:srgbClr val="000000"/>
              </a:solidFill>
              <a:latin typeface="Arial"/>
              <a:cs typeface="Arial"/>
            </a:rPr>
            <a:t>va</a:t>
          </a:r>
          <a:r>
            <a:rPr lang="en-US" sz="1200" b="0" i="0" u="none" strike="noStrike" baseline="30000">
              <a:solidFill>
                <a:srgbClr val="000000"/>
              </a:solidFill>
              <a:latin typeface="Arial"/>
              <a:cs typeface="Arial"/>
            </a:rPr>
            <a:t>2</a:t>
          </a:r>
          <a:r>
            <a:rPr lang="en-US" sz="1200" b="0" i="0" u="none" strike="noStrike" baseline="0">
              <a:solidFill>
                <a:srgbClr val="000000"/>
              </a:solidFill>
              <a:latin typeface="Arial"/>
              <a:cs typeface="Arial"/>
            </a:rPr>
            <a:t> - vb</a:t>
          </a:r>
          <a:r>
            <a:rPr lang="en-US" sz="1200" b="0" i="0" u="none" strike="noStrike" baseline="30000">
              <a:solidFill>
                <a:srgbClr val="000000"/>
              </a:solidFill>
              <a:latin typeface="Arial"/>
              <a:cs typeface="Arial"/>
            </a:rPr>
            <a:t>2</a:t>
          </a:r>
          <a:r>
            <a:rPr lang="en-US" sz="1200" b="0" i="0" u="none" strike="noStrike" baseline="0">
              <a:solidFill>
                <a:srgbClr val="000000"/>
              </a:solidFill>
              <a:latin typeface="Arial"/>
              <a:cs typeface="Arial"/>
            </a:rPr>
            <a:t>) / (2*32.2]</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continuity equation for a pump is: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ρ</a:t>
          </a:r>
          <a:r>
            <a:rPr lang="en-US" sz="1200" b="0" i="0" u="none" strike="noStrike" baseline="0">
              <a:solidFill>
                <a:srgbClr val="000000"/>
              </a:solidFill>
              <a:latin typeface="Arial"/>
              <a:cs typeface="Arial"/>
            </a:rPr>
            <a:t>a*Va*Aa = </a:t>
          </a:r>
          <a:r>
            <a:rPr lang="el-GR" sz="1200" b="0" i="0" u="none" strike="noStrike" baseline="0">
              <a:solidFill>
                <a:srgbClr val="000000"/>
              </a:solidFill>
              <a:latin typeface="Arial"/>
              <a:cs typeface="Arial"/>
            </a:rPr>
            <a:t>ρ</a:t>
          </a:r>
          <a:r>
            <a:rPr lang="en-US" sz="1200" b="0" i="0" u="none" strike="noStrike" baseline="0">
              <a:solidFill>
                <a:srgbClr val="000000"/>
              </a:solidFill>
              <a:latin typeface="Arial"/>
              <a:cs typeface="Arial"/>
            </a:rPr>
            <a:t>b*Vb*Ab</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Example:  Centrifugal Pump</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Determine the maximum pressure increase across a pump directly coupled to a 10 hp motor illustrated below if the inlet velocity of water is 30 ft/sec. Water density is 62.4 lbm/ft</a:t>
          </a:r>
          <a:r>
            <a:rPr lang="en-US" sz="1200" b="0" i="0" u="none" strike="noStrike" baseline="30000">
              <a:solidFill>
                <a:srgbClr val="000000"/>
              </a:solidFill>
              <a:latin typeface="Arial"/>
              <a:cs typeface="Arial"/>
            </a:rPr>
            <a:t>3</a:t>
          </a:r>
          <a:r>
            <a:rPr lang="en-US" sz="1200" b="0" i="0" u="none" strike="noStrike" baseline="0">
              <a:solidFill>
                <a:srgbClr val="000000"/>
              </a:solidFill>
              <a:latin typeface="Arial"/>
              <a:cs typeface="Arial"/>
            </a:rPr>
            <a:t>. Assume all of the motor power is delivered to the pump.</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Solution</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Maximum pressure increase is 238.3 psi</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similar problems.</a:t>
          </a:r>
        </a:p>
      </xdr:txBody>
    </xdr:sp>
    <xdr:clientData/>
  </xdr:twoCellAnchor>
  <xdr:twoCellAnchor editAs="oneCell">
    <xdr:from>
      <xdr:col>1</xdr:col>
      <xdr:colOff>1695450</xdr:colOff>
      <xdr:row>599</xdr:row>
      <xdr:rowOff>158751</xdr:rowOff>
    </xdr:from>
    <xdr:to>
      <xdr:col>3</xdr:col>
      <xdr:colOff>203525</xdr:colOff>
      <xdr:row>610</xdr:row>
      <xdr:rowOff>69851</xdr:rowOff>
    </xdr:to>
    <xdr:pic>
      <xdr:nvPicPr>
        <xdr:cNvPr id="32495" name="Picture 529" descr="PUMP-1">
          <a:extLst>
            <a:ext uri="{FF2B5EF4-FFF2-40B4-BE49-F238E27FC236}">
              <a16:creationId xmlns:a16="http://schemas.microsoft.com/office/drawing/2014/main" id="{14AB370B-F863-C4C8-FC90-D21C33E005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2500" y="119233951"/>
          <a:ext cx="33213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130175</xdr:colOff>
      <xdr:row>3</xdr:row>
      <xdr:rowOff>111125</xdr:rowOff>
    </xdr:from>
    <xdr:to>
      <xdr:col>4</xdr:col>
      <xdr:colOff>336555</xdr:colOff>
      <xdr:row>29</xdr:row>
      <xdr:rowOff>149242</xdr:rowOff>
    </xdr:to>
    <xdr:sp macro="" textlink="">
      <xdr:nvSpPr>
        <xdr:cNvPr id="1558" name="Text Box 534">
          <a:extLst>
            <a:ext uri="{FF2B5EF4-FFF2-40B4-BE49-F238E27FC236}">
              <a16:creationId xmlns:a16="http://schemas.microsoft.com/office/drawing/2014/main" id="{A70F5646-6117-43AF-5732-E36642C9F74F}"/>
            </a:ext>
          </a:extLst>
        </xdr:cNvPr>
        <xdr:cNvSpPr txBox="1">
          <a:spLocks noChangeArrowheads="1"/>
        </xdr:cNvSpPr>
      </xdr:nvSpPr>
      <xdr:spPr bwMode="auto">
        <a:xfrm>
          <a:off x="635000" y="758825"/>
          <a:ext cx="5778505" cy="5086367"/>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lnSpc>
              <a:spcPts val="1200"/>
            </a:lnSpc>
            <a:defRPr sz="1000"/>
          </a:pPr>
          <a:endParaRPr lang="en-US" sz="1100" b="1" i="0" u="none" strike="noStrike" baseline="0">
            <a:solidFill>
              <a:srgbClr val="000000"/>
            </a:solidFill>
            <a:latin typeface="Arial"/>
            <a:cs typeface="Arial"/>
          </a:endParaRPr>
        </a:p>
        <a:p>
          <a:pPr algn="ctr" rtl="0">
            <a:lnSpc>
              <a:spcPts val="1500"/>
            </a:lnSpc>
            <a:defRPr sz="1000"/>
          </a:pPr>
          <a:r>
            <a:rPr lang="en-US" sz="1400" b="1" i="0" u="none" strike="noStrike" baseline="0">
              <a:solidFill>
                <a:srgbClr val="000000"/>
              </a:solidFill>
              <a:latin typeface="Arial"/>
              <a:cs typeface="Arial"/>
            </a:rPr>
            <a:t>HEAT AND WORK</a:t>
          </a:r>
          <a:endParaRPr lang="en-US" sz="14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Heat energy transfer Q across a boundary can produce work W.</a:t>
          </a:r>
        </a:p>
        <a:p>
          <a:pPr algn="l" rtl="0">
            <a:lnSpc>
              <a:spcPts val="1300"/>
            </a:lnSpc>
            <a:defRPr sz="1000"/>
          </a:pPr>
          <a:endParaRPr lang="en-US" sz="12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The First Law of Thermodynamics simply states that energy can be neither created nor destroyed (conservation of energy). Sum of work done W = Total enthalpy input Q</a:t>
          </a:r>
        </a:p>
        <a:p>
          <a:pPr algn="l" rtl="0">
            <a:lnSpc>
              <a:spcPts val="1300"/>
            </a:lnSpc>
            <a:defRPr sz="1000"/>
          </a:pPr>
          <a:r>
            <a:rPr lang="en-US" sz="1200" b="0" i="0" u="none" strike="noStrike" baseline="0">
              <a:solidFill>
                <a:srgbClr val="000000"/>
              </a:solidFill>
              <a:latin typeface="Arial"/>
              <a:cs typeface="Arial"/>
            </a:rPr>
            <a:t>                        </a:t>
          </a:r>
        </a:p>
        <a:p>
          <a:pPr algn="l" rtl="0">
            <a:lnSpc>
              <a:spcPts val="1300"/>
            </a:lnSpc>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Σ</a:t>
          </a:r>
          <a:r>
            <a:rPr lang="en-US" sz="1200" b="0" i="0" u="none" strike="noStrike" baseline="0">
              <a:solidFill>
                <a:srgbClr val="000000"/>
              </a:solidFill>
              <a:latin typeface="Arial"/>
              <a:cs typeface="Arial"/>
            </a:rPr>
            <a:t>W =   </a:t>
          </a:r>
          <a:r>
            <a:rPr lang="el-GR" sz="1200" b="0" i="0" u="none" strike="noStrike" baseline="0">
              <a:solidFill>
                <a:srgbClr val="000000"/>
              </a:solidFill>
              <a:latin typeface="Arial"/>
              <a:cs typeface="Arial"/>
            </a:rPr>
            <a:t>Σ</a:t>
          </a:r>
          <a:r>
            <a:rPr lang="en-US" sz="1200" b="0" i="0" u="none" strike="noStrike" baseline="0">
              <a:solidFill>
                <a:srgbClr val="000000"/>
              </a:solidFill>
              <a:latin typeface="Arial"/>
              <a:cs typeface="Arial"/>
            </a:rPr>
            <a:t>Q</a:t>
          </a:r>
        </a:p>
        <a:p>
          <a:pPr algn="l" rtl="0">
            <a:defRPr sz="1000"/>
          </a:pPr>
          <a:endParaRPr lang="en-US" sz="1400" b="0" i="0" u="none" strike="noStrike" baseline="0">
            <a:solidFill>
              <a:srgbClr val="000000"/>
            </a:solidFill>
            <a:latin typeface="Arial"/>
            <a:cs typeface="Arial"/>
          </a:endParaRPr>
        </a:p>
        <a:p>
          <a:pPr algn="l" rtl="0">
            <a:lnSpc>
              <a:spcPts val="1500"/>
            </a:lnSpc>
            <a:defRPr sz="1000"/>
          </a:pPr>
          <a:r>
            <a:rPr lang="en-US" sz="1400" b="1" i="0" u="none" strike="noStrike" baseline="0">
              <a:solidFill>
                <a:srgbClr val="000000"/>
              </a:solidFill>
              <a:latin typeface="Arial"/>
              <a:cs typeface="Arial"/>
            </a:rPr>
            <a:t>Steam and Piston Example</a:t>
          </a:r>
          <a:endParaRPr lang="en-US" sz="1400" b="0" i="0" u="none" strike="noStrike" baseline="0">
            <a:solidFill>
              <a:srgbClr val="000000"/>
            </a:solidFill>
            <a:latin typeface="Arial"/>
            <a:cs typeface="Arial"/>
          </a:endParaRPr>
        </a:p>
        <a:p>
          <a:pPr algn="l" rtl="0">
            <a:lnSpc>
              <a:spcPts val="1300"/>
            </a:lnSpc>
            <a:defRPr sz="1000"/>
          </a:pPr>
          <a:r>
            <a:rPr lang="en-US" sz="1200" b="0" i="0" u="none" strike="noStrike" baseline="0">
              <a:solidFill>
                <a:srgbClr val="000000"/>
              </a:solidFill>
              <a:latin typeface="Arial"/>
              <a:cs typeface="Arial"/>
            </a:rPr>
            <a:t>Water vapor (steam) in a cylinder causes a friction-less piston to rise as illustrated below. Heat is added until the temperature reaches 400 deg C. If the initial quality of the steam is 20 %, find:        </a:t>
          </a:r>
        </a:p>
        <a:p>
          <a:pPr algn="l" rtl="0">
            <a:lnSpc>
              <a:spcPts val="1300"/>
            </a:lnSpc>
            <a:defRPr sz="1000"/>
          </a:pPr>
          <a:r>
            <a:rPr lang="en-US" sz="1200" b="0" i="0" u="none" strike="noStrike" baseline="0">
              <a:solidFill>
                <a:srgbClr val="000000"/>
              </a:solidFill>
              <a:latin typeface="Arial"/>
              <a:cs typeface="Arial"/>
            </a:rPr>
            <a:t>              a. the initial pressure</a:t>
          </a:r>
        </a:p>
        <a:p>
          <a:pPr algn="l" rtl="0">
            <a:lnSpc>
              <a:spcPts val="1300"/>
            </a:lnSpc>
            <a:defRPr sz="1000"/>
          </a:pPr>
          <a:r>
            <a:rPr lang="en-US" sz="1200" b="0" i="0" u="none" strike="noStrike" baseline="0">
              <a:solidFill>
                <a:srgbClr val="000000"/>
              </a:solidFill>
              <a:latin typeface="Arial"/>
              <a:cs typeface="Arial"/>
            </a:rPr>
            <a:t>              b. the mass of water</a:t>
          </a:r>
        </a:p>
        <a:p>
          <a:pPr algn="l" rtl="0">
            <a:lnSpc>
              <a:spcPts val="1300"/>
            </a:lnSpc>
            <a:defRPr sz="1000"/>
          </a:pPr>
          <a:r>
            <a:rPr lang="en-US" sz="1200" b="0" i="0" u="none" strike="noStrike" baseline="0">
              <a:solidFill>
                <a:srgbClr val="000000"/>
              </a:solidFill>
              <a:latin typeface="Arial"/>
              <a:cs typeface="Arial"/>
            </a:rPr>
            <a:t>              c. the quality of the steam when it reaches the stops</a:t>
          </a:r>
        </a:p>
        <a:p>
          <a:pPr algn="l" rtl="0">
            <a:lnSpc>
              <a:spcPts val="1300"/>
            </a:lnSpc>
            <a:defRPr sz="1000"/>
          </a:pPr>
          <a:r>
            <a:rPr lang="en-US" sz="1200" b="0" i="0" u="none" strike="noStrike" baseline="0">
              <a:solidFill>
                <a:srgbClr val="000000"/>
              </a:solidFill>
              <a:latin typeface="Arial"/>
              <a:cs typeface="Arial"/>
            </a:rPr>
            <a:t>              d. the final pressure</a:t>
          </a:r>
        </a:p>
        <a:p>
          <a:pPr algn="l" rtl="0">
            <a:defRPr sz="1000"/>
          </a:pPr>
          <a:r>
            <a:rPr lang="en-US" sz="1200" b="0" i="0" u="none" strike="noStrike" baseline="0">
              <a:solidFill>
                <a:srgbClr val="000000"/>
              </a:solidFill>
              <a:latin typeface="Arial"/>
              <a:cs typeface="Arial"/>
            </a:rPr>
            <a:t>              e. the work done on the piston</a:t>
          </a:r>
        </a:p>
        <a:p>
          <a:pPr algn="l" rtl="0">
            <a:lnSpc>
              <a:spcPts val="1300"/>
            </a:lnSpc>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Answers: a. 120 kPa</a:t>
          </a:r>
        </a:p>
        <a:p>
          <a:pPr algn="l" rtl="0">
            <a:lnSpc>
              <a:spcPts val="1300"/>
            </a:lnSpc>
            <a:defRPr sz="1000"/>
          </a:pPr>
          <a:r>
            <a:rPr lang="en-US" sz="1200" b="0" i="0" u="none" strike="noStrike" baseline="0">
              <a:solidFill>
                <a:srgbClr val="000000"/>
              </a:solidFill>
              <a:latin typeface="Arial"/>
              <a:cs typeface="Arial"/>
            </a:rPr>
            <a:t>               b. 0.001373 kg</a:t>
          </a:r>
        </a:p>
        <a:p>
          <a:pPr algn="l" rtl="0">
            <a:defRPr sz="1000"/>
          </a:pPr>
          <a:r>
            <a:rPr lang="en-US" sz="1200" b="0" i="0" u="none" strike="noStrike" baseline="0">
              <a:solidFill>
                <a:srgbClr val="000000"/>
              </a:solidFill>
              <a:latin typeface="Arial"/>
              <a:cs typeface="Arial"/>
            </a:rPr>
            <a:t>               c. 46%</a:t>
          </a:r>
        </a:p>
        <a:p>
          <a:pPr algn="l" rtl="0">
            <a:defRPr sz="1000"/>
          </a:pPr>
          <a:r>
            <a:rPr lang="en-US" sz="1200" b="0" i="0" u="none" strike="noStrike" baseline="0">
              <a:solidFill>
                <a:srgbClr val="000000"/>
              </a:solidFill>
              <a:latin typeface="Arial"/>
              <a:cs typeface="Arial"/>
            </a:rPr>
            <a:t>               d. 0.686 MPa</a:t>
          </a:r>
        </a:p>
        <a:p>
          <a:pPr algn="l" rtl="0">
            <a:lnSpc>
              <a:spcPts val="1300"/>
            </a:lnSpc>
            <a:defRPr sz="1000"/>
          </a:pPr>
          <a:r>
            <a:rPr lang="en-US" sz="1200" b="0" i="0" u="none" strike="noStrike" baseline="0">
              <a:solidFill>
                <a:srgbClr val="000000"/>
              </a:solidFill>
              <a:latin typeface="Arial"/>
              <a:cs typeface="Arial"/>
            </a:rPr>
            <a:t>               e. 28.2 J</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0"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 </a:t>
          </a:r>
        </a:p>
        <a:p>
          <a:pPr algn="l" rtl="0">
            <a:lnSpc>
              <a:spcPts val="1300"/>
            </a:lnSpc>
            <a:defRPr sz="1000"/>
          </a:pPr>
          <a:endParaRPr lang="en-US" sz="12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1019175</xdr:colOff>
      <xdr:row>32</xdr:row>
      <xdr:rowOff>133350</xdr:rowOff>
    </xdr:from>
    <xdr:to>
      <xdr:col>3</xdr:col>
      <xdr:colOff>485775</xdr:colOff>
      <xdr:row>49</xdr:row>
      <xdr:rowOff>19050</xdr:rowOff>
    </xdr:to>
    <xdr:pic>
      <xdr:nvPicPr>
        <xdr:cNvPr id="32499" name="Picture 537" descr="PISTON-P52-1">
          <a:extLst>
            <a:ext uri="{FF2B5EF4-FFF2-40B4-BE49-F238E27FC236}">
              <a16:creationId xmlns:a16="http://schemas.microsoft.com/office/drawing/2014/main" id="{0C5AFC30-3FF0-85E7-0D1E-DE80521926F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24000" y="6400800"/>
          <a:ext cx="4057650"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346075</xdr:colOff>
      <xdr:row>241</xdr:row>
      <xdr:rowOff>142874</xdr:rowOff>
    </xdr:from>
    <xdr:to>
      <xdr:col>4</xdr:col>
      <xdr:colOff>187327</xdr:colOff>
      <xdr:row>249</xdr:row>
      <xdr:rowOff>114299</xdr:rowOff>
    </xdr:to>
    <xdr:sp macro="" textlink="">
      <xdr:nvSpPr>
        <xdr:cNvPr id="1570" name="Text Box 546">
          <a:extLst>
            <a:ext uri="{FF2B5EF4-FFF2-40B4-BE49-F238E27FC236}">
              <a16:creationId xmlns:a16="http://schemas.microsoft.com/office/drawing/2014/main" id="{9E186036-1EEE-5E43-72FB-FB4DD63B265C}"/>
            </a:ext>
          </a:extLst>
        </xdr:cNvPr>
        <xdr:cNvSpPr txBox="1">
          <a:spLocks noChangeArrowheads="1"/>
        </xdr:cNvSpPr>
      </xdr:nvSpPr>
      <xdr:spPr bwMode="auto">
        <a:xfrm>
          <a:off x="850900" y="47063024"/>
          <a:ext cx="5413377" cy="14954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Universal Gas Constant</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universal gas constant: R = 1545.4 ft*lbf / lbmol*R  in US units.</a:t>
          </a:r>
        </a:p>
        <a:p>
          <a:pPr algn="l" rtl="0">
            <a:defRPr sz="1000"/>
          </a:pPr>
          <a:r>
            <a:rPr lang="en-US" sz="1200" b="0" i="0" u="none" strike="noStrike" baseline="0">
              <a:solidFill>
                <a:srgbClr val="000000"/>
              </a:solidFill>
              <a:latin typeface="Arial"/>
              <a:cs typeface="Arial"/>
            </a:rPr>
            <a:t>                                             R = 8.3143 kJ / kmol*K     in S.I. units.</a:t>
          </a:r>
        </a:p>
        <a:p>
          <a:pPr algn="l" rtl="0">
            <a:defRPr sz="1000"/>
          </a:pPr>
          <a:r>
            <a:rPr lang="en-US" sz="1200" b="0" i="0" u="none" strike="noStrike" baseline="0">
              <a:solidFill>
                <a:srgbClr val="000000"/>
              </a:solidFill>
              <a:latin typeface="Arial"/>
              <a:cs typeface="Arial"/>
            </a:rPr>
            <a:t>                                             R = 0.287 Pa*m^3/g*K</a:t>
          </a:r>
        </a:p>
        <a:p>
          <a:pPr algn="l" rtl="0">
            <a:defRPr sz="1000"/>
          </a:pPr>
          <a:r>
            <a:rPr lang="en-US" sz="1200" b="0" i="0" u="none" strike="noStrike" baseline="0">
              <a:solidFill>
                <a:srgbClr val="000000"/>
              </a:solidFill>
              <a:latin typeface="Arial"/>
              <a:cs typeface="Arial"/>
            </a:rPr>
            <a:t>                                             R = 0.0821 liter*atm / mole*K</a:t>
          </a:r>
        </a:p>
      </xdr:txBody>
    </xdr:sp>
    <xdr:clientData/>
  </xdr:twoCellAnchor>
  <xdr:twoCellAnchor>
    <xdr:from>
      <xdr:col>1</xdr:col>
      <xdr:colOff>114301</xdr:colOff>
      <xdr:row>217</xdr:row>
      <xdr:rowOff>152399</xdr:rowOff>
    </xdr:from>
    <xdr:to>
      <xdr:col>4</xdr:col>
      <xdr:colOff>279400</xdr:colOff>
      <xdr:row>230</xdr:row>
      <xdr:rowOff>133350</xdr:rowOff>
    </xdr:to>
    <xdr:sp macro="" textlink="">
      <xdr:nvSpPr>
        <xdr:cNvPr id="1572" name="Text Box 548">
          <a:extLst>
            <a:ext uri="{FF2B5EF4-FFF2-40B4-BE49-F238E27FC236}">
              <a16:creationId xmlns:a16="http://schemas.microsoft.com/office/drawing/2014/main" id="{58631566-1B4E-0F69-1F8E-CB66B6EF01D4}"/>
            </a:ext>
          </a:extLst>
        </xdr:cNvPr>
        <xdr:cNvSpPr txBox="1">
          <a:spLocks noChangeArrowheads="1"/>
        </xdr:cNvSpPr>
      </xdr:nvSpPr>
      <xdr:spPr bwMode="auto">
        <a:xfrm>
          <a:off x="641351" y="43522899"/>
          <a:ext cx="6007099" cy="2540001"/>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Ideal Carnot Cycle</a:t>
          </a:r>
        </a:p>
        <a:p>
          <a:pPr algn="ctr"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Postulate 1  It is impossible to construct an engine, operating between two given temperature reservoirs, that is more efficient than the Carnot engine.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Postulate 2  The efficiency of the Carnot engine is not dependant on the working substance (steam, gasoline, diesel oil, natural gas, propane etc.) used or any particular design feature of the engine (turbine, reciprocating pistons, rotary pistons, etc.).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Postulate 3  All reversible engines, operating between two given temperature reservoirs, have the same efficiency as a Carnot engine operating between the same two given temperature reservoirs.</a:t>
          </a:r>
        </a:p>
      </xdr:txBody>
    </xdr:sp>
    <xdr:clientData/>
  </xdr:twoCellAnchor>
  <xdr:twoCellAnchor editAs="oneCell">
    <xdr:from>
      <xdr:col>1</xdr:col>
      <xdr:colOff>66675</xdr:colOff>
      <xdr:row>85</xdr:row>
      <xdr:rowOff>114300</xdr:rowOff>
    </xdr:from>
    <xdr:to>
      <xdr:col>1</xdr:col>
      <xdr:colOff>2228850</xdr:colOff>
      <xdr:row>100</xdr:row>
      <xdr:rowOff>85725</xdr:rowOff>
    </xdr:to>
    <xdr:pic>
      <xdr:nvPicPr>
        <xdr:cNvPr id="32502" name="Picture 2">
          <a:extLst>
            <a:ext uri="{FF2B5EF4-FFF2-40B4-BE49-F238E27FC236}">
              <a16:creationId xmlns:a16="http://schemas.microsoft.com/office/drawing/2014/main" id="{BA576C04-1E0C-2BAD-59D5-0CF9E9AD29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500" y="19516725"/>
          <a:ext cx="2162175"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115</xdr:row>
      <xdr:rowOff>92075</xdr:rowOff>
    </xdr:from>
    <xdr:to>
      <xdr:col>5</xdr:col>
      <xdr:colOff>3175</xdr:colOff>
      <xdr:row>142</xdr:row>
      <xdr:rowOff>73025</xdr:rowOff>
    </xdr:to>
    <xdr:pic>
      <xdr:nvPicPr>
        <xdr:cNvPr id="32503" name="Picture 3">
          <a:extLst>
            <a:ext uri="{FF2B5EF4-FFF2-40B4-BE49-F238E27FC236}">
              <a16:creationId xmlns:a16="http://schemas.microsoft.com/office/drawing/2014/main" id="{C8276885-20E8-9D50-DAAD-142F1ED111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5175" y="29975175"/>
          <a:ext cx="61849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31750</xdr:colOff>
      <xdr:row>86</xdr:row>
      <xdr:rowOff>76200</xdr:rowOff>
    </xdr:from>
    <xdr:to>
      <xdr:col>14</xdr:col>
      <xdr:colOff>103637</xdr:colOff>
      <xdr:row>112</xdr:row>
      <xdr:rowOff>88900</xdr:rowOff>
    </xdr:to>
    <xdr:pic>
      <xdr:nvPicPr>
        <xdr:cNvPr id="32505" name="Picture 9">
          <a:extLst>
            <a:ext uri="{FF2B5EF4-FFF2-40B4-BE49-F238E27FC236}">
              <a16:creationId xmlns:a16="http://schemas.microsoft.com/office/drawing/2014/main" id="{B9D9CE85-654A-6E2C-AF4B-FDC86C3B185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30050" y="19837400"/>
          <a:ext cx="6015487" cy="527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473075</xdr:colOff>
      <xdr:row>115</xdr:row>
      <xdr:rowOff>66675</xdr:rowOff>
    </xdr:from>
    <xdr:to>
      <xdr:col>9</xdr:col>
      <xdr:colOff>911225</xdr:colOff>
      <xdr:row>135</xdr:row>
      <xdr:rowOff>180975</xdr:rowOff>
    </xdr:to>
    <xdr:pic>
      <xdr:nvPicPr>
        <xdr:cNvPr id="32506" name="Picture 10">
          <a:extLst>
            <a:ext uri="{FF2B5EF4-FFF2-40B4-BE49-F238E27FC236}">
              <a16:creationId xmlns:a16="http://schemas.microsoft.com/office/drawing/2014/main" id="{6D1D6C76-87D2-2D54-767E-E2084B1AADA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51775" y="29949775"/>
          <a:ext cx="4857750" cy="412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2130425</xdr:colOff>
      <xdr:row>86</xdr:row>
      <xdr:rowOff>19050</xdr:rowOff>
    </xdr:from>
    <xdr:to>
      <xdr:col>8</xdr:col>
      <xdr:colOff>511175</xdr:colOff>
      <xdr:row>101</xdr:row>
      <xdr:rowOff>0</xdr:rowOff>
    </xdr:to>
    <xdr:pic>
      <xdr:nvPicPr>
        <xdr:cNvPr id="32507" name="Picture 11">
          <a:extLst>
            <a:ext uri="{FF2B5EF4-FFF2-40B4-BE49-F238E27FC236}">
              <a16:creationId xmlns:a16="http://schemas.microsoft.com/office/drawing/2014/main" id="{75873648-17EC-9C9E-DD2E-CF3BE6118A6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09125" y="19780250"/>
          <a:ext cx="2165350" cy="298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2371725</xdr:colOff>
      <xdr:row>83</xdr:row>
      <xdr:rowOff>95250</xdr:rowOff>
    </xdr:from>
    <xdr:to>
      <xdr:col>6</xdr:col>
      <xdr:colOff>1104900</xdr:colOff>
      <xdr:row>107</xdr:row>
      <xdr:rowOff>79375</xdr:rowOff>
    </xdr:to>
    <xdr:pic>
      <xdr:nvPicPr>
        <xdr:cNvPr id="32508" name="Picture 12">
          <a:extLst>
            <a:ext uri="{FF2B5EF4-FFF2-40B4-BE49-F238E27FC236}">
              <a16:creationId xmlns:a16="http://schemas.microsoft.com/office/drawing/2014/main" id="{53303591-F2F6-643C-1DA7-435D1207583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76550" y="19040475"/>
          <a:ext cx="5600700" cy="482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358774</xdr:colOff>
      <xdr:row>148</xdr:row>
      <xdr:rowOff>152400</xdr:rowOff>
    </xdr:from>
    <xdr:to>
      <xdr:col>5</xdr:col>
      <xdr:colOff>95249</xdr:colOff>
      <xdr:row>175</xdr:row>
      <xdr:rowOff>131422</xdr:rowOff>
    </xdr:to>
    <xdr:pic>
      <xdr:nvPicPr>
        <xdr:cNvPr id="32509" name="Picture 13">
          <a:extLst>
            <a:ext uri="{FF2B5EF4-FFF2-40B4-BE49-F238E27FC236}">
              <a16:creationId xmlns:a16="http://schemas.microsoft.com/office/drawing/2014/main" id="{1EF5786C-30F9-C16C-D770-BF7FEE9E564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73124" y="30308550"/>
          <a:ext cx="6194425" cy="5560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95250</xdr:colOff>
      <xdr:row>535</xdr:row>
      <xdr:rowOff>9525</xdr:rowOff>
    </xdr:from>
    <xdr:ext cx="2333625" cy="352425"/>
    <xdr:pic>
      <xdr:nvPicPr>
        <xdr:cNvPr id="3" name="Picture 8">
          <a:extLst>
            <a:ext uri="{FF2B5EF4-FFF2-40B4-BE49-F238E27FC236}">
              <a16:creationId xmlns:a16="http://schemas.microsoft.com/office/drawing/2014/main" id="{C14CD2D2-48A1-42CE-B74A-491CCAE7BC7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72200" y="14268450"/>
          <a:ext cx="23336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171450</xdr:colOff>
      <xdr:row>549</xdr:row>
      <xdr:rowOff>41275</xdr:rowOff>
    </xdr:from>
    <xdr:to>
      <xdr:col>6</xdr:col>
      <xdr:colOff>1616276</xdr:colOff>
      <xdr:row>558</xdr:row>
      <xdr:rowOff>12942</xdr:rowOff>
    </xdr:to>
    <xdr:pic>
      <xdr:nvPicPr>
        <xdr:cNvPr id="4" name="Picture 3">
          <a:extLst>
            <a:ext uri="{FF2B5EF4-FFF2-40B4-BE49-F238E27FC236}">
              <a16:creationId xmlns:a16="http://schemas.microsoft.com/office/drawing/2014/main" id="{781EC957-D518-5117-2E7E-8F518501043C}"/>
            </a:ext>
          </a:extLst>
        </xdr:cNvPr>
        <xdr:cNvPicPr>
          <a:picLocks noChangeAspect="1"/>
        </xdr:cNvPicPr>
      </xdr:nvPicPr>
      <xdr:blipFill>
        <a:blip xmlns:r="http://schemas.openxmlformats.org/officeDocument/2006/relationships" r:embed="rId16"/>
        <a:stretch>
          <a:fillRect/>
        </a:stretch>
      </xdr:blipFill>
      <xdr:spPr>
        <a:xfrm>
          <a:off x="7550150" y="107343575"/>
          <a:ext cx="1444826" cy="1756017"/>
        </a:xfrm>
        <a:prstGeom prst="rect">
          <a:avLst/>
        </a:prstGeom>
      </xdr:spPr>
    </xdr:pic>
    <xdr:clientData/>
  </xdr:twoCellAnchor>
  <xdr:twoCellAnchor editAs="oneCell">
    <xdr:from>
      <xdr:col>6</xdr:col>
      <xdr:colOff>114300</xdr:colOff>
      <xdr:row>541</xdr:row>
      <xdr:rowOff>12700</xdr:rowOff>
    </xdr:from>
    <xdr:to>
      <xdr:col>9</xdr:col>
      <xdr:colOff>3773</xdr:colOff>
      <xdr:row>549</xdr:row>
      <xdr:rowOff>210</xdr:rowOff>
    </xdr:to>
    <xdr:pic>
      <xdr:nvPicPr>
        <xdr:cNvPr id="5" name="Picture 4">
          <a:extLst>
            <a:ext uri="{FF2B5EF4-FFF2-40B4-BE49-F238E27FC236}">
              <a16:creationId xmlns:a16="http://schemas.microsoft.com/office/drawing/2014/main" id="{EFC2E6A6-B132-941F-B3A7-760DF09C3103}"/>
            </a:ext>
          </a:extLst>
        </xdr:cNvPr>
        <xdr:cNvPicPr>
          <a:picLocks noChangeAspect="1"/>
        </xdr:cNvPicPr>
      </xdr:nvPicPr>
      <xdr:blipFill>
        <a:blip xmlns:r="http://schemas.openxmlformats.org/officeDocument/2006/relationships" r:embed="rId17"/>
        <a:stretch>
          <a:fillRect/>
        </a:stretch>
      </xdr:blipFill>
      <xdr:spPr>
        <a:xfrm>
          <a:off x="7493000" y="105791000"/>
          <a:ext cx="4302723" cy="1511510"/>
        </a:xfrm>
        <a:prstGeom prst="rect">
          <a:avLst/>
        </a:prstGeom>
      </xdr:spPr>
    </xdr:pic>
    <xdr:clientData/>
  </xdr:twoCellAnchor>
  <xdr:twoCellAnchor editAs="oneCell">
    <xdr:from>
      <xdr:col>6</xdr:col>
      <xdr:colOff>1612900</xdr:colOff>
      <xdr:row>550</xdr:row>
      <xdr:rowOff>0</xdr:rowOff>
    </xdr:from>
    <xdr:to>
      <xdr:col>9</xdr:col>
      <xdr:colOff>394145</xdr:colOff>
      <xdr:row>556</xdr:row>
      <xdr:rowOff>114475</xdr:rowOff>
    </xdr:to>
    <xdr:pic>
      <xdr:nvPicPr>
        <xdr:cNvPr id="6" name="Picture 5">
          <a:extLst>
            <a:ext uri="{FF2B5EF4-FFF2-40B4-BE49-F238E27FC236}">
              <a16:creationId xmlns:a16="http://schemas.microsoft.com/office/drawing/2014/main" id="{97099AB0-038D-22F7-0862-0CB0A8DC4075}"/>
            </a:ext>
          </a:extLst>
        </xdr:cNvPr>
        <xdr:cNvPicPr>
          <a:picLocks noChangeAspect="1"/>
        </xdr:cNvPicPr>
      </xdr:nvPicPr>
      <xdr:blipFill>
        <a:blip xmlns:r="http://schemas.openxmlformats.org/officeDocument/2006/relationships" r:embed="rId18"/>
        <a:stretch>
          <a:fillRect/>
        </a:stretch>
      </xdr:blipFill>
      <xdr:spPr>
        <a:xfrm>
          <a:off x="8991600" y="107492800"/>
          <a:ext cx="3200845" cy="1257475"/>
        </a:xfrm>
        <a:prstGeom prst="rect">
          <a:avLst/>
        </a:prstGeom>
      </xdr:spPr>
    </xdr:pic>
    <xdr:clientData/>
  </xdr:twoCellAnchor>
  <xdr:twoCellAnchor editAs="oneCell">
    <xdr:from>
      <xdr:col>1</xdr:col>
      <xdr:colOff>2676525</xdr:colOff>
      <xdr:row>538</xdr:row>
      <xdr:rowOff>31750</xdr:rowOff>
    </xdr:from>
    <xdr:to>
      <xdr:col>3</xdr:col>
      <xdr:colOff>35228</xdr:colOff>
      <xdr:row>541</xdr:row>
      <xdr:rowOff>98522</xdr:rowOff>
    </xdr:to>
    <xdr:pic>
      <xdr:nvPicPr>
        <xdr:cNvPr id="7" name="Picture 6">
          <a:extLst>
            <a:ext uri="{FF2B5EF4-FFF2-40B4-BE49-F238E27FC236}">
              <a16:creationId xmlns:a16="http://schemas.microsoft.com/office/drawing/2014/main" id="{A693D573-4E32-EDB3-F6E6-B298337EADEA}"/>
            </a:ext>
          </a:extLst>
        </xdr:cNvPr>
        <xdr:cNvPicPr>
          <a:picLocks noChangeAspect="1"/>
        </xdr:cNvPicPr>
      </xdr:nvPicPr>
      <xdr:blipFill>
        <a:blip xmlns:r="http://schemas.openxmlformats.org/officeDocument/2006/relationships" r:embed="rId19"/>
        <a:stretch>
          <a:fillRect/>
        </a:stretch>
      </xdr:blipFill>
      <xdr:spPr>
        <a:xfrm>
          <a:off x="3203575" y="106997500"/>
          <a:ext cx="2172003" cy="670022"/>
        </a:xfrm>
        <a:prstGeom prst="rect">
          <a:avLst/>
        </a:prstGeom>
      </xdr:spPr>
    </xdr:pic>
    <xdr:clientData/>
  </xdr:twoCellAnchor>
  <xdr:twoCellAnchor editAs="oneCell">
    <xdr:from>
      <xdr:col>1</xdr:col>
      <xdr:colOff>2790825</xdr:colOff>
      <xdr:row>541</xdr:row>
      <xdr:rowOff>63500</xdr:rowOff>
    </xdr:from>
    <xdr:to>
      <xdr:col>3</xdr:col>
      <xdr:colOff>73317</xdr:colOff>
      <xdr:row>543</xdr:row>
      <xdr:rowOff>142937</xdr:rowOff>
    </xdr:to>
    <xdr:pic>
      <xdr:nvPicPr>
        <xdr:cNvPr id="8" name="Picture 7">
          <a:extLst>
            <a:ext uri="{FF2B5EF4-FFF2-40B4-BE49-F238E27FC236}">
              <a16:creationId xmlns:a16="http://schemas.microsoft.com/office/drawing/2014/main" id="{50D39B7F-A328-5E27-8B97-C204F15A8D77}"/>
            </a:ext>
          </a:extLst>
        </xdr:cNvPr>
        <xdr:cNvPicPr>
          <a:picLocks noChangeAspect="1"/>
        </xdr:cNvPicPr>
      </xdr:nvPicPr>
      <xdr:blipFill>
        <a:blip xmlns:r="http://schemas.openxmlformats.org/officeDocument/2006/relationships" r:embed="rId20"/>
        <a:stretch>
          <a:fillRect/>
        </a:stretch>
      </xdr:blipFill>
      <xdr:spPr>
        <a:xfrm>
          <a:off x="3317875" y="107632500"/>
          <a:ext cx="2095792" cy="473137"/>
        </a:xfrm>
        <a:prstGeom prst="rect">
          <a:avLst/>
        </a:prstGeom>
      </xdr:spPr>
    </xdr:pic>
    <xdr:clientData/>
  </xdr:twoCellAnchor>
  <xdr:twoCellAnchor editAs="oneCell">
    <xdr:from>
      <xdr:col>1</xdr:col>
      <xdr:colOff>168275</xdr:colOff>
      <xdr:row>544</xdr:row>
      <xdr:rowOff>19050</xdr:rowOff>
    </xdr:from>
    <xdr:to>
      <xdr:col>4</xdr:col>
      <xdr:colOff>226211</xdr:colOff>
      <xdr:row>554</xdr:row>
      <xdr:rowOff>187612</xdr:rowOff>
    </xdr:to>
    <xdr:pic>
      <xdr:nvPicPr>
        <xdr:cNvPr id="9" name="Picture 8">
          <a:extLst>
            <a:ext uri="{FF2B5EF4-FFF2-40B4-BE49-F238E27FC236}">
              <a16:creationId xmlns:a16="http://schemas.microsoft.com/office/drawing/2014/main" id="{77A80839-313C-FA23-35DD-CFB29EA76726}"/>
            </a:ext>
          </a:extLst>
        </xdr:cNvPr>
        <xdr:cNvPicPr>
          <a:picLocks noChangeAspect="1"/>
        </xdr:cNvPicPr>
      </xdr:nvPicPr>
      <xdr:blipFill>
        <a:blip xmlns:r="http://schemas.openxmlformats.org/officeDocument/2006/relationships" r:embed="rId21"/>
        <a:stretch>
          <a:fillRect/>
        </a:stretch>
      </xdr:blipFill>
      <xdr:spPr>
        <a:xfrm>
          <a:off x="695325" y="108178600"/>
          <a:ext cx="5899936" cy="2137062"/>
        </a:xfrm>
        <a:prstGeom prst="rect">
          <a:avLst/>
        </a:prstGeom>
      </xdr:spPr>
    </xdr:pic>
    <xdr:clientData/>
  </xdr:twoCellAnchor>
  <xdr:oneCellAnchor>
    <xdr:from>
      <xdr:col>5</xdr:col>
      <xdr:colOff>95250</xdr:colOff>
      <xdr:row>57</xdr:row>
      <xdr:rowOff>9525</xdr:rowOff>
    </xdr:from>
    <xdr:ext cx="2333625" cy="352425"/>
    <xdr:pic>
      <xdr:nvPicPr>
        <xdr:cNvPr id="10" name="Picture 8">
          <a:extLst>
            <a:ext uri="{FF2B5EF4-FFF2-40B4-BE49-F238E27FC236}">
              <a16:creationId xmlns:a16="http://schemas.microsoft.com/office/drawing/2014/main" id="{8C995012-0973-448D-8FC7-8357328BB3B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73950" y="104606725"/>
          <a:ext cx="23336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31750</xdr:colOff>
      <xdr:row>71</xdr:row>
      <xdr:rowOff>41275</xdr:rowOff>
    </xdr:from>
    <xdr:ext cx="1444826" cy="1756017"/>
    <xdr:pic>
      <xdr:nvPicPr>
        <xdr:cNvPr id="11" name="Picture 10">
          <a:extLst>
            <a:ext uri="{FF2B5EF4-FFF2-40B4-BE49-F238E27FC236}">
              <a16:creationId xmlns:a16="http://schemas.microsoft.com/office/drawing/2014/main" id="{586D98A8-EDF3-4A72-B7AA-6636838E719C}"/>
            </a:ext>
          </a:extLst>
        </xdr:cNvPr>
        <xdr:cNvPicPr>
          <a:picLocks noChangeAspect="1"/>
        </xdr:cNvPicPr>
      </xdr:nvPicPr>
      <xdr:blipFill>
        <a:blip xmlns:r="http://schemas.openxmlformats.org/officeDocument/2006/relationships" r:embed="rId16"/>
        <a:stretch>
          <a:fillRect/>
        </a:stretch>
      </xdr:blipFill>
      <xdr:spPr>
        <a:xfrm>
          <a:off x="6978650" y="12766675"/>
          <a:ext cx="1444826" cy="1756017"/>
        </a:xfrm>
        <a:prstGeom prst="rect">
          <a:avLst/>
        </a:prstGeom>
      </xdr:spPr>
    </xdr:pic>
    <xdr:clientData/>
  </xdr:oneCellAnchor>
  <xdr:oneCellAnchor>
    <xdr:from>
      <xdr:col>5</xdr:col>
      <xdr:colOff>114300</xdr:colOff>
      <xdr:row>63</xdr:row>
      <xdr:rowOff>12700</xdr:rowOff>
    </xdr:from>
    <xdr:ext cx="4302723" cy="1511510"/>
    <xdr:pic>
      <xdr:nvPicPr>
        <xdr:cNvPr id="12" name="Picture 11">
          <a:extLst>
            <a:ext uri="{FF2B5EF4-FFF2-40B4-BE49-F238E27FC236}">
              <a16:creationId xmlns:a16="http://schemas.microsoft.com/office/drawing/2014/main" id="{B6255682-FB00-4751-AECB-53B44C946477}"/>
            </a:ext>
          </a:extLst>
        </xdr:cNvPr>
        <xdr:cNvPicPr>
          <a:picLocks noChangeAspect="1"/>
        </xdr:cNvPicPr>
      </xdr:nvPicPr>
      <xdr:blipFill>
        <a:blip xmlns:r="http://schemas.openxmlformats.org/officeDocument/2006/relationships" r:embed="rId17"/>
        <a:stretch>
          <a:fillRect/>
        </a:stretch>
      </xdr:blipFill>
      <xdr:spPr>
        <a:xfrm>
          <a:off x="7493000" y="105854500"/>
          <a:ext cx="4302723" cy="1511510"/>
        </a:xfrm>
        <a:prstGeom prst="rect">
          <a:avLst/>
        </a:prstGeom>
      </xdr:spPr>
    </xdr:pic>
    <xdr:clientData/>
  </xdr:oneCellAnchor>
  <xdr:oneCellAnchor>
    <xdr:from>
      <xdr:col>6</xdr:col>
      <xdr:colOff>1346200</xdr:colOff>
      <xdr:row>71</xdr:row>
      <xdr:rowOff>50800</xdr:rowOff>
    </xdr:from>
    <xdr:ext cx="3200845" cy="1257475"/>
    <xdr:pic>
      <xdr:nvPicPr>
        <xdr:cNvPr id="13" name="Picture 12">
          <a:extLst>
            <a:ext uri="{FF2B5EF4-FFF2-40B4-BE49-F238E27FC236}">
              <a16:creationId xmlns:a16="http://schemas.microsoft.com/office/drawing/2014/main" id="{A3E8B980-3EB7-415A-B46B-AE28B13759F4}"/>
            </a:ext>
          </a:extLst>
        </xdr:cNvPr>
        <xdr:cNvPicPr>
          <a:picLocks noChangeAspect="1"/>
        </xdr:cNvPicPr>
      </xdr:nvPicPr>
      <xdr:blipFill>
        <a:blip xmlns:r="http://schemas.openxmlformats.org/officeDocument/2006/relationships" r:embed="rId18"/>
        <a:stretch>
          <a:fillRect/>
        </a:stretch>
      </xdr:blipFill>
      <xdr:spPr>
        <a:xfrm>
          <a:off x="8724900" y="12776200"/>
          <a:ext cx="3200845" cy="1257475"/>
        </a:xfrm>
        <a:prstGeom prst="rect">
          <a:avLst/>
        </a:prstGeom>
      </xdr:spPr>
    </xdr:pic>
    <xdr:clientData/>
  </xdr:oneCellAnchor>
  <xdr:twoCellAnchor>
    <xdr:from>
      <xdr:col>5</xdr:col>
      <xdr:colOff>133350</xdr:colOff>
      <xdr:row>507</xdr:row>
      <xdr:rowOff>0</xdr:rowOff>
    </xdr:from>
    <xdr:to>
      <xdr:col>7</xdr:col>
      <xdr:colOff>920750</xdr:colOff>
      <xdr:row>525</xdr:row>
      <xdr:rowOff>133350</xdr:rowOff>
    </xdr:to>
    <xdr:sp macro="" textlink="">
      <xdr:nvSpPr>
        <xdr:cNvPr id="14" name="TextBox 13">
          <a:extLst>
            <a:ext uri="{FF2B5EF4-FFF2-40B4-BE49-F238E27FC236}">
              <a16:creationId xmlns:a16="http://schemas.microsoft.com/office/drawing/2014/main" id="{F9F22AFC-7E86-337B-169D-5E141E9785DE}"/>
            </a:ext>
          </a:extLst>
        </xdr:cNvPr>
        <xdr:cNvSpPr txBox="1"/>
      </xdr:nvSpPr>
      <xdr:spPr>
        <a:xfrm>
          <a:off x="7410450" y="100799900"/>
          <a:ext cx="3981450"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400" b="1" i="0">
            <a:solidFill>
              <a:schemeClr val="dk1"/>
            </a:solidFill>
            <a:effectLst/>
            <a:latin typeface="Arial" panose="020B0604020202020204" pitchFamily="34" charset="0"/>
            <a:ea typeface="+mn-ea"/>
            <a:cs typeface="Arial" panose="020B0604020202020204" pitchFamily="34" charset="0"/>
          </a:endParaRPr>
        </a:p>
        <a:p>
          <a:pPr algn="ctr"/>
          <a:r>
            <a:rPr lang="en-US" sz="1400" b="1" i="0">
              <a:solidFill>
                <a:schemeClr val="dk1"/>
              </a:solidFill>
              <a:effectLst/>
              <a:latin typeface="Arial" panose="020B0604020202020204" pitchFamily="34" charset="0"/>
              <a:ea typeface="+mn-ea"/>
              <a:cs typeface="Arial" panose="020B0604020202020204" pitchFamily="34" charset="0"/>
            </a:rPr>
            <a:t>Throttling Device </a:t>
          </a:r>
        </a:p>
        <a:p>
          <a:endParaRPr lang="en-US" sz="1100" b="0" i="0">
            <a:solidFill>
              <a:schemeClr val="dk1"/>
            </a:solidFill>
            <a:effectLst/>
            <a:latin typeface="+mn-lt"/>
            <a:ea typeface="+mn-ea"/>
            <a:cs typeface="+mn-cs"/>
          </a:endParaRPr>
        </a:p>
        <a:p>
          <a:r>
            <a:rPr lang="en-US" sz="1200" b="0" i="0">
              <a:solidFill>
                <a:schemeClr val="dk1"/>
              </a:solidFill>
              <a:effectLst/>
              <a:latin typeface="Arial" panose="020B0604020202020204" pitchFamily="34" charset="0"/>
              <a:ea typeface="+mn-ea"/>
              <a:cs typeface="Arial" panose="020B0604020202020204" pitchFamily="34" charset="0"/>
            </a:rPr>
            <a:t>Throttling device is the generic name of </a:t>
          </a:r>
          <a:r>
            <a:rPr lang="en-US" sz="1200" b="1" i="0">
              <a:solidFill>
                <a:schemeClr val="dk1"/>
              </a:solidFill>
              <a:effectLst/>
              <a:latin typeface="Arial" panose="020B0604020202020204" pitchFamily="34" charset="0"/>
              <a:ea typeface="+mn-ea"/>
              <a:cs typeface="Arial" panose="020B0604020202020204" pitchFamily="34" charset="0"/>
            </a:rPr>
            <a:t>any device or process that simply dissipates pressure energy by irreversibly converting it into thermal energy</a:t>
          </a:r>
          <a:r>
            <a:rPr lang="en-US" sz="1200" b="0" i="0">
              <a:solidFill>
                <a:schemeClr val="dk1"/>
              </a:solidFill>
              <a:effectLst/>
              <a:latin typeface="Arial" panose="020B0604020202020204" pitchFamily="34" charset="0"/>
              <a:ea typeface="+mn-ea"/>
              <a:cs typeface="Arial" panose="020B0604020202020204" pitchFamily="34" charset="0"/>
            </a:rPr>
            <a:t>. </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Unlike nozzles and diffusers, throttling devices provide no form of useful energy recovery.</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Remember </a:t>
          </a:r>
          <a:r>
            <a:rPr lang="en-US" sz="1200" b="1" i="0">
              <a:solidFill>
                <a:schemeClr val="dk1"/>
              </a:solidFill>
              <a:effectLst/>
              <a:latin typeface="Arial" panose="020B0604020202020204" pitchFamily="34" charset="0"/>
              <a:ea typeface="+mn-ea"/>
              <a:cs typeface="Arial" panose="020B0604020202020204" pitchFamily="34" charset="0"/>
            </a:rPr>
            <a:t>h = u + Pv</a:t>
          </a:r>
          <a:r>
            <a:rPr lang="en-US" sz="1200" b="0" i="0">
              <a:solidFill>
                <a:schemeClr val="dk1"/>
              </a:solidFill>
              <a:effectLst/>
              <a:latin typeface="Arial" panose="020B0604020202020204" pitchFamily="34" charset="0"/>
              <a:ea typeface="+mn-ea"/>
              <a:cs typeface="Arial" panose="020B0604020202020204" pitchFamily="34" charset="0"/>
            </a:rPr>
            <a:t> (v = specific volume)</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so if pressure decreases then specific volume must increase if enthalpy is to remain constant (assuming u is constant). </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Because mass flow is constant, the change in specific volume is observed as an increase in gas velocity, and this is verified by</a:t>
          </a:r>
          <a:r>
            <a:rPr lang="en-US" sz="1200" b="0" i="0" baseline="0">
              <a:solidFill>
                <a:schemeClr val="dk1"/>
              </a:solidFill>
              <a:effectLst/>
              <a:latin typeface="Arial" panose="020B0604020202020204" pitchFamily="34" charset="0"/>
              <a:ea typeface="+mn-ea"/>
              <a:cs typeface="Arial" panose="020B0604020202020204" pitchFamily="34" charset="0"/>
            </a:rPr>
            <a:t> </a:t>
          </a:r>
          <a:r>
            <a:rPr lang="en-US" sz="1200" b="0" i="0">
              <a:solidFill>
                <a:schemeClr val="dk1"/>
              </a:solidFill>
              <a:effectLst/>
              <a:latin typeface="Arial" panose="020B0604020202020204" pitchFamily="34" charset="0"/>
              <a:ea typeface="+mn-ea"/>
              <a:cs typeface="Arial" panose="020B0604020202020204" pitchFamily="34" charset="0"/>
            </a:rPr>
            <a:t>observations.</a:t>
          </a:r>
          <a:endParaRPr lang="en-US" sz="12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282575</xdr:colOff>
      <xdr:row>15</xdr:row>
      <xdr:rowOff>127000</xdr:rowOff>
    </xdr:from>
    <xdr:to>
      <xdr:col>3</xdr:col>
      <xdr:colOff>314325</xdr:colOff>
      <xdr:row>28</xdr:row>
      <xdr:rowOff>136525</xdr:rowOff>
    </xdr:to>
    <xdr:pic>
      <xdr:nvPicPr>
        <xdr:cNvPr id="35982" name="Picture 1" descr="Process T-s Diagram-1">
          <a:extLst>
            <a:ext uri="{FF2B5EF4-FFF2-40B4-BE49-F238E27FC236}">
              <a16:creationId xmlns:a16="http://schemas.microsoft.com/office/drawing/2014/main" id="{B2E166E4-B0AE-17D4-19BE-479F72B55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3275" y="3136900"/>
          <a:ext cx="4806950" cy="256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292100</xdr:colOff>
      <xdr:row>2</xdr:row>
      <xdr:rowOff>57151</xdr:rowOff>
    </xdr:from>
    <xdr:to>
      <xdr:col>3</xdr:col>
      <xdr:colOff>565149</xdr:colOff>
      <xdr:row>13</xdr:row>
      <xdr:rowOff>190500</xdr:rowOff>
    </xdr:to>
    <xdr:sp macro="" textlink="">
      <xdr:nvSpPr>
        <xdr:cNvPr id="7170" name="Text Box 2">
          <a:extLst>
            <a:ext uri="{FF2B5EF4-FFF2-40B4-BE49-F238E27FC236}">
              <a16:creationId xmlns:a16="http://schemas.microsoft.com/office/drawing/2014/main" id="{D42DEB8B-EF00-7DAE-E756-6C45C0B0065A}"/>
            </a:ext>
          </a:extLst>
        </xdr:cNvPr>
        <xdr:cNvSpPr txBox="1">
          <a:spLocks noChangeArrowheads="1"/>
        </xdr:cNvSpPr>
      </xdr:nvSpPr>
      <xdr:spPr bwMode="auto">
        <a:xfrm>
          <a:off x="812800" y="508001"/>
          <a:ext cx="5048249" cy="2298699"/>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Steam Turbine Example</a:t>
          </a:r>
        </a:p>
        <a:p>
          <a:pPr algn="ctr" rtl="0">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Superheated steam enters the simple turbine illustrated below. </a:t>
          </a:r>
        </a:p>
        <a:p>
          <a:pPr algn="l" rtl="0">
            <a:lnSpc>
              <a:spcPts val="1100"/>
            </a:lnSpc>
            <a:defRPr sz="1000"/>
          </a:pPr>
          <a:endParaRPr lang="en-US" sz="1200" b="0" i="0" u="none" strike="noStrike" baseline="0">
            <a:solidFill>
              <a:srgbClr val="000000"/>
            </a:solidFill>
            <a:latin typeface="Arial"/>
            <a:cs typeface="Arial"/>
          </a:endParaRPr>
        </a:p>
        <a:p>
          <a:pPr lvl="1" algn="l" rtl="0">
            <a:lnSpc>
              <a:spcPts val="1100"/>
            </a:lnSpc>
            <a:defRPr sz="1000"/>
          </a:pPr>
          <a:r>
            <a:rPr lang="en-US" sz="1200" b="0" i="0" u="none" strike="noStrike" baseline="0">
              <a:solidFill>
                <a:srgbClr val="000000"/>
              </a:solidFill>
              <a:latin typeface="Arial"/>
              <a:cs typeface="Arial"/>
            </a:rPr>
            <a:t>Sketch the T-s diagram and determine the power output if the process is assumed to be reversible and adiabatic. Neglect kinetic-energy and potential-energy changes.</a:t>
          </a:r>
        </a:p>
        <a:p>
          <a:pPr algn="l" rtl="0">
            <a:lnSpc>
              <a:spcPts val="1100"/>
            </a:lnSpc>
            <a:defRPr sz="1000"/>
          </a:pPr>
          <a:endParaRPr lang="en-US" sz="1200" b="0" i="0" u="none" strike="noStrike" baseline="0">
            <a:solidFill>
              <a:srgbClr val="000000"/>
            </a:solidFill>
            <a:latin typeface="Arial"/>
            <a:cs typeface="Arial"/>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lang="en-US" sz="1200" b="0" i="0" baseline="0">
              <a:effectLst/>
              <a:latin typeface="Arial" panose="020B0604020202020204" pitchFamily="34" charset="0"/>
              <a:ea typeface="+mn-ea"/>
              <a:cs typeface="Arial" panose="020B0604020202020204" pitchFamily="34" charset="0"/>
            </a:rPr>
            <a:t>Intake steam pressure,       Pa = 800 kPa                 </a:t>
          </a:r>
          <a:endParaRPr lang="en-US" sz="1200">
            <a:effectLst/>
            <a:latin typeface="Arial" panose="020B0604020202020204" pitchFamily="34" charset="0"/>
            <a:cs typeface="Arial" panose="020B0604020202020204" pitchFamily="34" charset="0"/>
          </a:endParaRPr>
        </a:p>
        <a:p>
          <a:pPr algn="l" rtl="0">
            <a:lnSpc>
              <a:spcPts val="1100"/>
            </a:lnSpc>
            <a:defRPr sz="1000"/>
          </a:pPr>
          <a:r>
            <a:rPr lang="en-US" sz="1200" b="0" i="0" u="none" strike="noStrike" baseline="0">
              <a:solidFill>
                <a:srgbClr val="000000"/>
              </a:solidFill>
              <a:latin typeface="Arial"/>
              <a:cs typeface="Arial"/>
            </a:rPr>
            <a:t>Exhaust steam pressure,    Pb = 50 kPa                   </a:t>
          </a:r>
        </a:p>
        <a:p>
          <a:pPr algn="l" rtl="0">
            <a:lnSpc>
              <a:spcPts val="1100"/>
            </a:lnSpc>
            <a:defRPr sz="1000"/>
          </a:pPr>
          <a:r>
            <a:rPr lang="en-US" sz="1200" b="0" i="0" u="none" strike="noStrike" baseline="0">
              <a:solidFill>
                <a:srgbClr val="000000"/>
              </a:solidFill>
              <a:latin typeface="Arial"/>
              <a:cs typeface="Arial"/>
            </a:rPr>
            <a:t>Inlet temperature,                Ta = 600 C</a:t>
          </a:r>
        </a:p>
        <a:p>
          <a:pPr marL="0" marR="0" lvl="0" indent="0" algn="l" defTabSz="914400" rtl="0" eaLnBrk="1" fontAlgn="auto" latinLnBrk="0" hangingPunct="1">
            <a:lnSpc>
              <a:spcPts val="1100"/>
            </a:lnSpc>
            <a:spcBef>
              <a:spcPts val="0"/>
            </a:spcBef>
            <a:spcAft>
              <a:spcPts val="0"/>
            </a:spcAft>
            <a:buClrTx/>
            <a:buSzTx/>
            <a:buFontTx/>
            <a:buNone/>
            <a:tabLst/>
            <a:defRPr sz="1000"/>
          </a:pPr>
          <a:r>
            <a:rPr lang="en-US" sz="1200" b="0" i="0" baseline="0">
              <a:effectLst/>
              <a:latin typeface="Arial" panose="020B0604020202020204" pitchFamily="34" charset="0"/>
              <a:ea typeface="+mn-ea"/>
              <a:cs typeface="Arial" panose="020B0604020202020204" pitchFamily="34" charset="0"/>
            </a:rPr>
            <a:t>Inlet temperature,                Tb = 300 C</a:t>
          </a:r>
          <a:endParaRPr lang="en-US" sz="1800">
            <a:effectLst/>
            <a:latin typeface="Arial" panose="020B0604020202020204" pitchFamily="34" charset="0"/>
            <a:cs typeface="Arial" panose="020B0604020202020204" pitchFamily="34" charset="0"/>
          </a:endParaRPr>
        </a:p>
        <a:p>
          <a:pPr algn="l" rtl="0">
            <a:lnSpc>
              <a:spcPts val="1100"/>
            </a:lnSpc>
            <a:defRPr sz="1000"/>
          </a:pPr>
          <a:r>
            <a:rPr lang="en-US" sz="1200" b="0" i="0" u="none" strike="noStrike" baseline="0">
              <a:solidFill>
                <a:srgbClr val="000000"/>
              </a:solidFill>
              <a:latin typeface="Arial"/>
              <a:cs typeface="Arial"/>
            </a:rPr>
            <a:t>Steam flow,                    M/sec = 30.0 kg/sec</a:t>
          </a:r>
        </a:p>
        <a:p>
          <a:pPr algn="l" rtl="0">
            <a:lnSpc>
              <a:spcPts val="1100"/>
            </a:lnSpc>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p>
        <a:p>
          <a:pPr algn="l" rtl="0">
            <a:defRPr sz="1000"/>
          </a:pPr>
          <a:endParaRPr lang="en-US" sz="11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2</xdr:col>
      <xdr:colOff>676275</xdr:colOff>
      <xdr:row>124</xdr:row>
      <xdr:rowOff>9525</xdr:rowOff>
    </xdr:from>
    <xdr:to>
      <xdr:col>6</xdr:col>
      <xdr:colOff>57150</xdr:colOff>
      <xdr:row>137</xdr:row>
      <xdr:rowOff>85725</xdr:rowOff>
    </xdr:to>
    <xdr:pic>
      <xdr:nvPicPr>
        <xdr:cNvPr id="35986" name="Picture 15" descr="Basic Steam Turbine Cycle-0">
          <a:extLst>
            <a:ext uri="{FF2B5EF4-FFF2-40B4-BE49-F238E27FC236}">
              <a16:creationId xmlns:a16="http://schemas.microsoft.com/office/drawing/2014/main" id="{6C8C2996-3FED-6196-76A6-89BE32876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14850" y="19326225"/>
          <a:ext cx="298132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530225</xdr:colOff>
      <xdr:row>238</xdr:row>
      <xdr:rowOff>133350</xdr:rowOff>
    </xdr:from>
    <xdr:to>
      <xdr:col>3</xdr:col>
      <xdr:colOff>355600</xdr:colOff>
      <xdr:row>261</xdr:row>
      <xdr:rowOff>127000</xdr:rowOff>
    </xdr:to>
    <xdr:sp macro="" textlink="">
      <xdr:nvSpPr>
        <xdr:cNvPr id="7188" name="Text Box 20">
          <a:extLst>
            <a:ext uri="{FF2B5EF4-FFF2-40B4-BE49-F238E27FC236}">
              <a16:creationId xmlns:a16="http://schemas.microsoft.com/office/drawing/2014/main" id="{D47E1802-F020-E68F-CE8A-EF2D04CAEE7C}"/>
            </a:ext>
          </a:extLst>
        </xdr:cNvPr>
        <xdr:cNvSpPr txBox="1">
          <a:spLocks noChangeArrowheads="1"/>
        </xdr:cNvSpPr>
      </xdr:nvSpPr>
      <xdr:spPr bwMode="auto">
        <a:xfrm>
          <a:off x="1050925" y="46462950"/>
          <a:ext cx="4518025" cy="45212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4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The Rankin Cycle with Superheat and Reheat </a:t>
          </a:r>
        </a:p>
        <a:p>
          <a:pPr algn="l" rtl="0">
            <a:defRPr sz="1000"/>
          </a:pPr>
          <a:r>
            <a:rPr lang="en-US" sz="1200" b="1" i="0" u="none" strike="noStrike" baseline="0">
              <a:solidFill>
                <a:srgbClr val="000000"/>
              </a:solidFill>
              <a:latin typeface="Arial"/>
              <a:cs typeface="Arial"/>
            </a:rPr>
            <a:t> </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Liquid droplets will form the low pressure portion of a steam turbine operating a Rankin cycle with high boiler pressure or a low condenser pressure.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metals cannot function adequately above 600 deg C.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steam passing through the second stage of a turbine is reheated to state 5 as illustrated in the diagrams above and below.</a:t>
          </a:r>
        </a:p>
        <a:p>
          <a:pPr algn="l" rtl="0">
            <a:defRPr sz="1000"/>
          </a:pPr>
          <a:endParaRPr lang="en-US" sz="12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Example:</a:t>
          </a:r>
          <a:r>
            <a:rPr lang="en-US" sz="1100" b="0" i="0" u="none" strike="noStrike" baseline="0">
              <a:solidFill>
                <a:srgbClr val="000000"/>
              </a:solidFill>
              <a:latin typeface="Arial"/>
              <a:cs typeface="Arial"/>
            </a:rPr>
            <a:t>  </a:t>
          </a:r>
          <a:r>
            <a:rPr lang="en-US" sz="1200" b="0" i="0" u="none" strike="noStrike" baseline="0">
              <a:solidFill>
                <a:srgbClr val="000000"/>
              </a:solidFill>
              <a:latin typeface="Arial"/>
              <a:cs typeface="Arial"/>
            </a:rPr>
            <a:t>High pressure steam enters a turbine at 600 psia and 1000 deg F.</a:t>
          </a:r>
        </a:p>
        <a:p>
          <a:pPr algn="l" rtl="0">
            <a:defRPr sz="1000"/>
          </a:pPr>
          <a:r>
            <a:rPr lang="en-US" sz="1200" b="0" i="0" u="none" strike="noStrike" baseline="0">
              <a:solidFill>
                <a:srgbClr val="000000"/>
              </a:solidFill>
              <a:latin typeface="Arial"/>
              <a:cs typeface="Arial"/>
            </a:rPr>
            <a:t>It is reheated at a pressure of 40 psia to 600 deg F and then expanded to 2 psia.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What is the thermal efficiency of the cycle?</a:t>
          </a:r>
        </a:p>
        <a:p>
          <a:pPr algn="l" rtl="0">
            <a:defRPr sz="1000"/>
          </a:pPr>
          <a:endParaRPr lang="en-US" sz="1200" b="0" i="0" u="none" strike="noStrike" baseline="0">
            <a:solidFill>
              <a:srgbClr val="000000"/>
            </a:solidFill>
            <a:latin typeface="Arial"/>
            <a:cs typeface="Arial"/>
          </a:endParaRPr>
        </a:p>
        <a:p>
          <a:pPr algn="l" rtl="0">
            <a:defRPr sz="1000"/>
          </a:pPr>
          <a:r>
            <a:rPr lang="en-US" sz="1100" b="1" i="0" u="none" strike="noStrike" baseline="0">
              <a:solidFill>
                <a:srgbClr val="000000"/>
              </a:solidFill>
              <a:latin typeface="Arial"/>
              <a:cs typeface="Arial"/>
            </a:rPr>
            <a:t>Answer</a:t>
          </a:r>
          <a:r>
            <a:rPr lang="en-US" sz="1100" b="0" i="0" u="none" strike="noStrike" baseline="0">
              <a:solidFill>
                <a:srgbClr val="000000"/>
              </a:solidFill>
              <a:latin typeface="Arial"/>
              <a:cs typeface="Arial"/>
            </a:rPr>
            <a:t> </a:t>
          </a:r>
          <a:r>
            <a:rPr lang="en-US" sz="1200" b="0" i="0" u="none" strike="noStrike" baseline="0">
              <a:solidFill>
                <a:srgbClr val="000000"/>
              </a:solidFill>
              <a:latin typeface="Arial"/>
              <a:cs typeface="Arial"/>
            </a:rPr>
            <a:t> The thermal efficiency of the cycle is 36.5%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708025</xdr:colOff>
      <xdr:row>471</xdr:row>
      <xdr:rowOff>60325</xdr:rowOff>
    </xdr:from>
    <xdr:to>
      <xdr:col>4</xdr:col>
      <xdr:colOff>393700</xdr:colOff>
      <xdr:row>495</xdr:row>
      <xdr:rowOff>171450</xdr:rowOff>
    </xdr:to>
    <xdr:sp macro="" textlink="">
      <xdr:nvSpPr>
        <xdr:cNvPr id="7194" name="Text Box 26">
          <a:extLst>
            <a:ext uri="{FF2B5EF4-FFF2-40B4-BE49-F238E27FC236}">
              <a16:creationId xmlns:a16="http://schemas.microsoft.com/office/drawing/2014/main" id="{BCEFF99E-AE29-9727-6093-84CB0452AB62}"/>
            </a:ext>
          </a:extLst>
        </xdr:cNvPr>
        <xdr:cNvSpPr txBox="1">
          <a:spLocks noChangeArrowheads="1"/>
        </xdr:cNvSpPr>
      </xdr:nvSpPr>
      <xdr:spPr bwMode="auto">
        <a:xfrm>
          <a:off x="1228725" y="92440125"/>
          <a:ext cx="5019675" cy="48355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Rankin Cycle</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diagrams above and below show a typical 2400 psi sub critical Rankin cycle with single reheat.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critical point is shown slightly above the cycle shown.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Increasing the steam pressure improves cycle efficiency. It also provides the opportunity to go to a "double reheat" cycle, which allows even more improvement in overall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overall net efficiency for a typical sub critical coal-fired unit is about 10,000 Btu/kWh. Increasing the initial steam pressure to 3500 psi from 2400 psi improves the heat rate by about 1.5%.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efficiency of a unit with 3500 psi initial steam pressure and double reheat is about 4% better than a typical sub critical unit.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For a 600 MW unit burning $1.20 per million Btu fuel with an 80% annual capacity factor, this represents an annual cost savings of about $2 million.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Existing sub critical units in the United States typically have a steam drum where the working fluid circulates through the water walls either by heat transfer and gravity in the case of natural circulation, or with the addition of pumps in the case of forced circulation.</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708025</xdr:colOff>
      <xdr:row>453</xdr:row>
      <xdr:rowOff>25400</xdr:rowOff>
    </xdr:from>
    <xdr:to>
      <xdr:col>4</xdr:col>
      <xdr:colOff>374650</xdr:colOff>
      <xdr:row>468</xdr:row>
      <xdr:rowOff>171450</xdr:rowOff>
    </xdr:to>
    <xdr:sp macro="" textlink="">
      <xdr:nvSpPr>
        <xdr:cNvPr id="7197" name="Text Box 4">
          <a:extLst>
            <a:ext uri="{FF2B5EF4-FFF2-40B4-BE49-F238E27FC236}">
              <a16:creationId xmlns:a16="http://schemas.microsoft.com/office/drawing/2014/main" id="{EFCCE09F-AD41-B6E5-2ADD-5936945F5781}"/>
            </a:ext>
          </a:extLst>
        </xdr:cNvPr>
        <xdr:cNvSpPr txBox="1">
          <a:spLocks noChangeArrowheads="1"/>
        </xdr:cNvSpPr>
      </xdr:nvSpPr>
      <xdr:spPr bwMode="auto">
        <a:xfrm>
          <a:off x="1228725" y="88861900"/>
          <a:ext cx="5000625" cy="30988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Rankin Vapor Power Cycle with Superheat</a:t>
          </a:r>
        </a:p>
        <a:p>
          <a:pPr algn="ctr"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steam boiler-turbine energy producing system above is described here.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F to A: Pump increases liquid water pressure to equal the boiler water pressure.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Water is heated to boiler saturation pressure and temperature.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to C: Water changes state to saturated steam vapor.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to D: Superheating increases steam temperature and enthalpy,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to F: Steam vapor changes state to a liquid phase in the condenser</a:t>
          </a:r>
          <a:r>
            <a:rPr lang="en-US" sz="1000" b="0" i="0" u="none" strike="noStrike" baseline="0">
              <a:solidFill>
                <a:srgbClr val="000000"/>
              </a:solidFill>
              <a:latin typeface="Arial"/>
              <a:cs typeface="Arial"/>
            </a:rPr>
            <a:t>.</a:t>
          </a:r>
        </a:p>
      </xdr:txBody>
    </xdr:sp>
    <xdr:clientData/>
  </xdr:twoCellAnchor>
  <xdr:twoCellAnchor editAs="oneCell">
    <xdr:from>
      <xdr:col>1</xdr:col>
      <xdr:colOff>47625</xdr:colOff>
      <xdr:row>119</xdr:row>
      <xdr:rowOff>161925</xdr:rowOff>
    </xdr:from>
    <xdr:to>
      <xdr:col>2</xdr:col>
      <xdr:colOff>533400</xdr:colOff>
      <xdr:row>140</xdr:row>
      <xdr:rowOff>133350</xdr:rowOff>
    </xdr:to>
    <xdr:pic>
      <xdr:nvPicPr>
        <xdr:cNvPr id="35992" name="Picture 32" descr="Basic Steam Turbine Cycle-1">
          <a:extLst>
            <a:ext uri="{FF2B5EF4-FFF2-40B4-BE49-F238E27FC236}">
              <a16:creationId xmlns:a16="http://schemas.microsoft.com/office/drawing/2014/main" id="{AAD9F08C-284B-8C91-2341-8D84035649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18526125"/>
          <a:ext cx="38290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155575</xdr:colOff>
      <xdr:row>217</xdr:row>
      <xdr:rowOff>107950</xdr:rowOff>
    </xdr:from>
    <xdr:to>
      <xdr:col>3</xdr:col>
      <xdr:colOff>280681</xdr:colOff>
      <xdr:row>236</xdr:row>
      <xdr:rowOff>190500</xdr:rowOff>
    </xdr:to>
    <xdr:pic>
      <xdr:nvPicPr>
        <xdr:cNvPr id="35996" name="Picture 50" descr="Steam Turbine with Reheat">
          <a:extLst>
            <a:ext uri="{FF2B5EF4-FFF2-40B4-BE49-F238E27FC236}">
              <a16:creationId xmlns:a16="http://schemas.microsoft.com/office/drawing/2014/main" id="{9EF6C499-389A-A7B5-BC40-34D3E5736F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42303700"/>
          <a:ext cx="4900306" cy="382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263</xdr:row>
      <xdr:rowOff>53975</xdr:rowOff>
    </xdr:from>
    <xdr:to>
      <xdr:col>2</xdr:col>
      <xdr:colOff>977900</xdr:colOff>
      <xdr:row>278</xdr:row>
      <xdr:rowOff>82550</xdr:rowOff>
    </xdr:to>
    <xdr:pic>
      <xdr:nvPicPr>
        <xdr:cNvPr id="35997" name="Picture 51" descr="Steam Turbine with Reheat-2">
          <a:extLst>
            <a:ext uri="{FF2B5EF4-FFF2-40B4-BE49-F238E27FC236}">
              <a16:creationId xmlns:a16="http://schemas.microsoft.com/office/drawing/2014/main" id="{83D5D293-5382-041D-BB90-44DF8BC162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8425" y="51304825"/>
          <a:ext cx="36353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254000</xdr:colOff>
      <xdr:row>460</xdr:row>
      <xdr:rowOff>28575</xdr:rowOff>
    </xdr:from>
    <xdr:to>
      <xdr:col>8</xdr:col>
      <xdr:colOff>406400</xdr:colOff>
      <xdr:row>486</xdr:row>
      <xdr:rowOff>158750</xdr:rowOff>
    </xdr:to>
    <xdr:pic>
      <xdr:nvPicPr>
        <xdr:cNvPr id="35999" name="Picture 55" descr="STEAM CYCLES-2">
          <a:extLst>
            <a:ext uri="{FF2B5EF4-FFF2-40B4-BE49-F238E27FC236}">
              <a16:creationId xmlns:a16="http://schemas.microsoft.com/office/drawing/2014/main" id="{FF8F7236-6DA8-8192-C003-E063A7942F9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0050" y="90243025"/>
          <a:ext cx="29337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93</xdr:row>
      <xdr:rowOff>117475</xdr:rowOff>
    </xdr:from>
    <xdr:to>
      <xdr:col>4</xdr:col>
      <xdr:colOff>466737</xdr:colOff>
      <xdr:row>118</xdr:row>
      <xdr:rowOff>114305</xdr:rowOff>
    </xdr:to>
    <xdr:sp macro="" textlink="">
      <xdr:nvSpPr>
        <xdr:cNvPr id="7224" name="Text Box 56">
          <a:extLst>
            <a:ext uri="{FF2B5EF4-FFF2-40B4-BE49-F238E27FC236}">
              <a16:creationId xmlns:a16="http://schemas.microsoft.com/office/drawing/2014/main" id="{3C796374-D79F-C1F4-B0A8-BDD1D0DD5440}"/>
            </a:ext>
          </a:extLst>
        </xdr:cNvPr>
        <xdr:cNvSpPr txBox="1">
          <a:spLocks noChangeArrowheads="1"/>
        </xdr:cNvSpPr>
      </xdr:nvSpPr>
      <xdr:spPr bwMode="auto">
        <a:xfrm>
          <a:off x="438150" y="23431500"/>
          <a:ext cx="4705350" cy="40386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6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Turbine with Process Steam Extraction Example</a:t>
          </a:r>
        </a:p>
        <a:p>
          <a:pPr algn="ctr"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10% of boiler output steam is extracted from the compressor at 0.1 MPa at point b in the turbine for process use as illustrated below. The boiler produces steam at 1.00 MPa and 300 deg C. The turbine exhausts to condenser at 0.010 MPa. Make-up water is supplied as saturated liquid at condeser pressure.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Calculate process steam quality x at point b for the turbine with process steam extraction illustrated below.</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Determine process steam enthalpy hb at b.</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Steam quality xc at turbine exhaust to condenser at point 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Find the enthalpy hc at turbine exhaust to condenser point c.</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Answers:</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xb = 96%</a:t>
          </a:r>
        </a:p>
        <a:p>
          <a:pPr algn="l" rtl="0">
            <a:defRPr sz="1000"/>
          </a:pPr>
          <a:r>
            <a:rPr lang="en-US" sz="1200" b="0" i="0" u="none" strike="noStrike" baseline="0">
              <a:solidFill>
                <a:srgbClr val="000000"/>
              </a:solidFill>
              <a:latin typeface="Arial"/>
              <a:cs typeface="Arial"/>
            </a:rPr>
            <a:t>b. hb = 2588 Btu/lbm</a:t>
          </a:r>
        </a:p>
        <a:p>
          <a:pPr algn="l" rtl="0">
            <a:defRPr sz="1000"/>
          </a:pPr>
          <a:r>
            <a:rPr lang="en-US" sz="1200" b="0" i="0" u="none" strike="noStrike" baseline="0">
              <a:solidFill>
                <a:srgbClr val="000000"/>
              </a:solidFill>
              <a:latin typeface="Arial"/>
              <a:cs typeface="Arial"/>
            </a:rPr>
            <a:t>c. xc = 86%</a:t>
          </a:r>
        </a:p>
        <a:p>
          <a:pPr algn="l" rtl="0">
            <a:defRPr sz="1000"/>
          </a:pPr>
          <a:r>
            <a:rPr lang="en-US" sz="1200" b="0" i="0" u="none" strike="noStrike" baseline="0">
              <a:solidFill>
                <a:srgbClr val="000000"/>
              </a:solidFill>
              <a:latin typeface="Arial"/>
              <a:cs typeface="Arial"/>
            </a:rPr>
            <a:t>d. hc = 2258 Btu/lbm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a:t>
          </a:r>
          <a:r>
            <a:rPr lang="en-US" sz="1100" b="0" i="0" u="none" strike="noStrike" baseline="0">
              <a:solidFill>
                <a:srgbClr val="000000"/>
              </a:solidFill>
              <a:latin typeface="Arial"/>
              <a:cs typeface="Arial"/>
            </a:rPr>
            <a:t>.</a:t>
          </a:r>
        </a:p>
      </xdr:txBody>
    </xdr:sp>
    <xdr:clientData/>
  </xdr:twoCellAnchor>
  <xdr:twoCellAnchor>
    <xdr:from>
      <xdr:col>11</xdr:col>
      <xdr:colOff>625475</xdr:colOff>
      <xdr:row>3</xdr:row>
      <xdr:rowOff>0</xdr:rowOff>
    </xdr:from>
    <xdr:to>
      <xdr:col>15</xdr:col>
      <xdr:colOff>273050</xdr:colOff>
      <xdr:row>11</xdr:row>
      <xdr:rowOff>25400</xdr:rowOff>
    </xdr:to>
    <xdr:sp macro="" textlink="">
      <xdr:nvSpPr>
        <xdr:cNvPr id="12" name="TextBox 11">
          <a:extLst>
            <a:ext uri="{FF2B5EF4-FFF2-40B4-BE49-F238E27FC236}">
              <a16:creationId xmlns:a16="http://schemas.microsoft.com/office/drawing/2014/main" id="{8AC5EAE5-D735-D36D-0D8D-D96574C6EA9E}"/>
            </a:ext>
          </a:extLst>
        </xdr:cNvPr>
        <xdr:cNvSpPr txBox="1"/>
      </xdr:nvSpPr>
      <xdr:spPr>
        <a:xfrm>
          <a:off x="12576175" y="647700"/>
          <a:ext cx="2212975"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1" i="0" u="none" strike="noStrike">
            <a:solidFill>
              <a:schemeClr val="dk1"/>
            </a:solidFill>
            <a:effectLst/>
            <a:latin typeface="Arial" panose="020B0604020202020204" pitchFamily="34" charset="0"/>
            <a:ea typeface="+mn-ea"/>
            <a:cs typeface="Arial" panose="020B0604020202020204" pitchFamily="34" charset="0"/>
          </a:endParaRPr>
        </a:p>
        <a:p>
          <a:pPr algn="ctr"/>
          <a:r>
            <a:rPr lang="en-US" sz="1200" b="1" i="0" u="none" strike="noStrike">
              <a:solidFill>
                <a:schemeClr val="dk1"/>
              </a:solidFill>
              <a:effectLst/>
              <a:latin typeface="Arial" panose="020B0604020202020204" pitchFamily="34" charset="0"/>
              <a:ea typeface="+mn-ea"/>
              <a:cs typeface="Arial" panose="020B0604020202020204" pitchFamily="34" charset="0"/>
            </a:rPr>
            <a:t>Enthalpy H</a:t>
          </a:r>
        </a:p>
        <a:p>
          <a:r>
            <a:rPr lang="en-US" sz="1200" b="0" i="0" u="none" strike="noStrike">
              <a:solidFill>
                <a:schemeClr val="dk1"/>
              </a:solidFill>
              <a:effectLst/>
              <a:latin typeface="Arial" panose="020B0604020202020204" pitchFamily="34" charset="0"/>
              <a:ea typeface="+mn-ea"/>
              <a:cs typeface="Arial" panose="020B0604020202020204" pitchFamily="34" charset="0"/>
            </a:rPr>
            <a:t>a thermodynamic quantity equivalent to the total heat content of a system. It is equal to the internal energy of the system plus the product of pressure and volume.</a:t>
          </a:r>
          <a:r>
            <a:rPr lang="en-US" sz="1200">
              <a:effectLst/>
              <a:latin typeface="Arial" panose="020B0604020202020204" pitchFamily="34" charset="0"/>
              <a:cs typeface="Arial" panose="020B0604020202020204" pitchFamily="34" charset="0"/>
            </a:rPr>
            <a:t> </a:t>
          </a:r>
        </a:p>
        <a:p>
          <a:endParaRPr lang="en-US" sz="1100"/>
        </a:p>
      </xdr:txBody>
    </xdr:sp>
    <xdr:clientData/>
  </xdr:twoCellAnchor>
  <xdr:twoCellAnchor>
    <xdr:from>
      <xdr:col>1</xdr:col>
      <xdr:colOff>539750</xdr:colOff>
      <xdr:row>73</xdr:row>
      <xdr:rowOff>168275</xdr:rowOff>
    </xdr:from>
    <xdr:to>
      <xdr:col>3</xdr:col>
      <xdr:colOff>406400</xdr:colOff>
      <xdr:row>87</xdr:row>
      <xdr:rowOff>149225</xdr:rowOff>
    </xdr:to>
    <xdr:sp macro="" textlink="">
      <xdr:nvSpPr>
        <xdr:cNvPr id="19" name="TextBox 18">
          <a:extLst>
            <a:ext uri="{FF2B5EF4-FFF2-40B4-BE49-F238E27FC236}">
              <a16:creationId xmlns:a16="http://schemas.microsoft.com/office/drawing/2014/main" id="{AD3D64AC-F11A-9D53-4942-B36BC16E1298}"/>
            </a:ext>
          </a:extLst>
        </xdr:cNvPr>
        <xdr:cNvSpPr txBox="1"/>
      </xdr:nvSpPr>
      <xdr:spPr>
        <a:xfrm>
          <a:off x="1060450" y="14824075"/>
          <a:ext cx="4641850" cy="273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pPr algn="ctr" rtl="0"/>
          <a:r>
            <a:rPr lang="en-US" sz="1400" b="1" i="0" baseline="0">
              <a:solidFill>
                <a:schemeClr val="dk1"/>
              </a:solidFill>
              <a:effectLst/>
              <a:latin typeface="Arial" panose="020B0604020202020204" pitchFamily="34" charset="0"/>
              <a:ea typeface="+mn-ea"/>
              <a:cs typeface="Arial" panose="020B0604020202020204" pitchFamily="34" charset="0"/>
            </a:rPr>
            <a:t>Reversible Process</a:t>
          </a:r>
        </a:p>
        <a:p>
          <a:pPr algn="ct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A definition of a reversible process is a process that, after it has taken place, can be reversed and causes no change in either the system or its surroundings. In thermodynamic terms, a process "taking place" would refer to its transition from its initial state to its final state. Wikipedia</a:t>
          </a:r>
        </a:p>
        <a:p>
          <a:pP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The first law of thermodynamics for an adiabatic process (rapid processes) states:   </a:t>
          </a:r>
        </a:p>
        <a:p>
          <a:pP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                         -Wout = (dm/dt)*(hb - ha)</a:t>
          </a:r>
          <a:endParaRPr lang="en-US" sz="1200">
            <a:effectLst/>
            <a:latin typeface="Arial" panose="020B0604020202020204" pitchFamily="34" charset="0"/>
            <a:cs typeface="Arial" panose="020B0604020202020204" pitchFamily="34" charset="0"/>
          </a:endParaRPr>
        </a:p>
        <a:p>
          <a:endParaRPr lang="en-US" sz="1100"/>
        </a:p>
      </xdr:txBody>
    </xdr:sp>
    <xdr:clientData/>
  </xdr:twoCellAnchor>
  <xdr:twoCellAnchor>
    <xdr:from>
      <xdr:col>5</xdr:col>
      <xdr:colOff>400050</xdr:colOff>
      <xdr:row>278</xdr:row>
      <xdr:rowOff>180975</xdr:rowOff>
    </xdr:from>
    <xdr:to>
      <xdr:col>5</xdr:col>
      <xdr:colOff>447675</xdr:colOff>
      <xdr:row>279</xdr:row>
      <xdr:rowOff>26669</xdr:rowOff>
    </xdr:to>
    <xdr:sp macro="" textlink="">
      <xdr:nvSpPr>
        <xdr:cNvPr id="26" name="TextBox 25">
          <a:extLst>
            <a:ext uri="{FF2B5EF4-FFF2-40B4-BE49-F238E27FC236}">
              <a16:creationId xmlns:a16="http://schemas.microsoft.com/office/drawing/2014/main" id="{BD1A2CE0-A139-0070-0ED5-2E6CC6021F15}"/>
            </a:ext>
          </a:extLst>
        </xdr:cNvPr>
        <xdr:cNvSpPr txBox="1"/>
      </xdr:nvSpPr>
      <xdr:spPr>
        <a:xfrm>
          <a:off x="6591300" y="53016150"/>
          <a:ext cx="476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6</xdr:col>
      <xdr:colOff>533400</xdr:colOff>
      <xdr:row>109</xdr:row>
      <xdr:rowOff>85725</xdr:rowOff>
    </xdr:from>
    <xdr:to>
      <xdr:col>16</xdr:col>
      <xdr:colOff>470844</xdr:colOff>
      <xdr:row>135</xdr:row>
      <xdr:rowOff>121444</xdr:rowOff>
    </xdr:to>
    <xdr:pic>
      <xdr:nvPicPr>
        <xdr:cNvPr id="28" name="Picture 27">
          <a:extLst>
            <a:ext uri="{FF2B5EF4-FFF2-40B4-BE49-F238E27FC236}">
              <a16:creationId xmlns:a16="http://schemas.microsoft.com/office/drawing/2014/main" id="{24A55C34-9214-8D3F-7054-0B96380E60E7}"/>
            </a:ext>
          </a:extLst>
        </xdr:cNvPr>
        <xdr:cNvPicPr>
          <a:picLocks noChangeAspect="1"/>
        </xdr:cNvPicPr>
      </xdr:nvPicPr>
      <xdr:blipFill>
        <a:blip xmlns:r="http://schemas.openxmlformats.org/officeDocument/2006/relationships" r:embed="rId7"/>
        <a:stretch>
          <a:fillRect/>
        </a:stretch>
      </xdr:blipFill>
      <xdr:spPr>
        <a:xfrm>
          <a:off x="7848600" y="15706725"/>
          <a:ext cx="7043094" cy="5026819"/>
        </a:xfrm>
        <a:prstGeom prst="rect">
          <a:avLst/>
        </a:prstGeom>
      </xdr:spPr>
    </xdr:pic>
    <xdr:clientData/>
  </xdr:twoCellAnchor>
  <xdr:twoCellAnchor editAs="oneCell">
    <xdr:from>
      <xdr:col>6</xdr:col>
      <xdr:colOff>647699</xdr:colOff>
      <xdr:row>75</xdr:row>
      <xdr:rowOff>104775</xdr:rowOff>
    </xdr:from>
    <xdr:to>
      <xdr:col>15</xdr:col>
      <xdr:colOff>443338</xdr:colOff>
      <xdr:row>108</xdr:row>
      <xdr:rowOff>188119</xdr:rowOff>
    </xdr:to>
    <xdr:pic>
      <xdr:nvPicPr>
        <xdr:cNvPr id="29" name="Picture 28">
          <a:extLst>
            <a:ext uri="{FF2B5EF4-FFF2-40B4-BE49-F238E27FC236}">
              <a16:creationId xmlns:a16="http://schemas.microsoft.com/office/drawing/2014/main" id="{579F7033-768B-9F74-45D8-872626B40E82}"/>
            </a:ext>
          </a:extLst>
        </xdr:cNvPr>
        <xdr:cNvPicPr>
          <a:picLocks noChangeAspect="1"/>
        </xdr:cNvPicPr>
      </xdr:nvPicPr>
      <xdr:blipFill>
        <a:blip xmlns:r="http://schemas.openxmlformats.org/officeDocument/2006/relationships" r:embed="rId8"/>
        <a:stretch>
          <a:fillRect/>
        </a:stretch>
      </xdr:blipFill>
      <xdr:spPr>
        <a:xfrm>
          <a:off x="7962899" y="9020175"/>
          <a:ext cx="6291689" cy="6598444"/>
        </a:xfrm>
        <a:prstGeom prst="rect">
          <a:avLst/>
        </a:prstGeom>
      </xdr:spPr>
    </xdr:pic>
    <xdr:clientData/>
  </xdr:twoCellAnchor>
  <xdr:twoCellAnchor editAs="oneCell">
    <xdr:from>
      <xdr:col>7</xdr:col>
      <xdr:colOff>571500</xdr:colOff>
      <xdr:row>288</xdr:row>
      <xdr:rowOff>38100</xdr:rowOff>
    </xdr:from>
    <xdr:to>
      <xdr:col>13</xdr:col>
      <xdr:colOff>38656</xdr:colOff>
      <xdr:row>294</xdr:row>
      <xdr:rowOff>19219</xdr:rowOff>
    </xdr:to>
    <xdr:pic>
      <xdr:nvPicPr>
        <xdr:cNvPr id="30" name="Picture 29">
          <a:extLst>
            <a:ext uri="{FF2B5EF4-FFF2-40B4-BE49-F238E27FC236}">
              <a16:creationId xmlns:a16="http://schemas.microsoft.com/office/drawing/2014/main" id="{6C9DC68F-DEBF-B542-369A-FFEED40738AF}"/>
            </a:ext>
          </a:extLst>
        </xdr:cNvPr>
        <xdr:cNvPicPr>
          <a:picLocks noChangeAspect="1"/>
        </xdr:cNvPicPr>
      </xdr:nvPicPr>
      <xdr:blipFill>
        <a:blip xmlns:r="http://schemas.openxmlformats.org/officeDocument/2006/relationships" r:embed="rId9"/>
        <a:stretch>
          <a:fillRect/>
        </a:stretch>
      </xdr:blipFill>
      <xdr:spPr>
        <a:xfrm>
          <a:off x="10448925" y="57607200"/>
          <a:ext cx="3982006" cy="1209844"/>
        </a:xfrm>
        <a:prstGeom prst="rect">
          <a:avLst/>
        </a:prstGeom>
      </xdr:spPr>
    </xdr:pic>
    <xdr:clientData/>
  </xdr:twoCellAnchor>
  <xdr:twoCellAnchor editAs="oneCell">
    <xdr:from>
      <xdr:col>6</xdr:col>
      <xdr:colOff>114300</xdr:colOff>
      <xdr:row>289</xdr:row>
      <xdr:rowOff>47625</xdr:rowOff>
    </xdr:from>
    <xdr:to>
      <xdr:col>7</xdr:col>
      <xdr:colOff>285878</xdr:colOff>
      <xdr:row>293</xdr:row>
      <xdr:rowOff>41389</xdr:rowOff>
    </xdr:to>
    <xdr:pic>
      <xdr:nvPicPr>
        <xdr:cNvPr id="31" name="Picture 30">
          <a:extLst>
            <a:ext uri="{FF2B5EF4-FFF2-40B4-BE49-F238E27FC236}">
              <a16:creationId xmlns:a16="http://schemas.microsoft.com/office/drawing/2014/main" id="{707E06FB-A6C8-B9D0-1857-41A5DFF58019}"/>
            </a:ext>
          </a:extLst>
        </xdr:cNvPr>
        <xdr:cNvPicPr>
          <a:picLocks noChangeAspect="1"/>
        </xdr:cNvPicPr>
      </xdr:nvPicPr>
      <xdr:blipFill>
        <a:blip xmlns:r="http://schemas.openxmlformats.org/officeDocument/2006/relationships" r:embed="rId10"/>
        <a:stretch>
          <a:fillRect/>
        </a:stretch>
      </xdr:blipFill>
      <xdr:spPr>
        <a:xfrm>
          <a:off x="9086850" y="57816750"/>
          <a:ext cx="914528" cy="809738"/>
        </a:xfrm>
        <a:prstGeom prst="rect">
          <a:avLst/>
        </a:prstGeom>
      </xdr:spPr>
    </xdr:pic>
    <xdr:clientData/>
  </xdr:twoCellAnchor>
  <xdr:twoCellAnchor editAs="oneCell">
    <xdr:from>
      <xdr:col>6</xdr:col>
      <xdr:colOff>104775</xdr:colOff>
      <xdr:row>281</xdr:row>
      <xdr:rowOff>190500</xdr:rowOff>
    </xdr:from>
    <xdr:to>
      <xdr:col>7</xdr:col>
      <xdr:colOff>343037</xdr:colOff>
      <xdr:row>285</xdr:row>
      <xdr:rowOff>162029</xdr:rowOff>
    </xdr:to>
    <xdr:pic>
      <xdr:nvPicPr>
        <xdr:cNvPr id="32" name="Picture 31">
          <a:extLst>
            <a:ext uri="{FF2B5EF4-FFF2-40B4-BE49-F238E27FC236}">
              <a16:creationId xmlns:a16="http://schemas.microsoft.com/office/drawing/2014/main" id="{61E9D70B-B410-0A97-FCC0-863F98E1B2C8}"/>
            </a:ext>
          </a:extLst>
        </xdr:cNvPr>
        <xdr:cNvPicPr>
          <a:picLocks noChangeAspect="1"/>
        </xdr:cNvPicPr>
      </xdr:nvPicPr>
      <xdr:blipFill>
        <a:blip xmlns:r="http://schemas.openxmlformats.org/officeDocument/2006/relationships" r:embed="rId11"/>
        <a:stretch>
          <a:fillRect/>
        </a:stretch>
      </xdr:blipFill>
      <xdr:spPr>
        <a:xfrm>
          <a:off x="9077325" y="56388000"/>
          <a:ext cx="981212" cy="752580"/>
        </a:xfrm>
        <a:prstGeom prst="rect">
          <a:avLst/>
        </a:prstGeom>
      </xdr:spPr>
    </xdr:pic>
    <xdr:clientData/>
  </xdr:twoCellAnchor>
  <xdr:twoCellAnchor editAs="oneCell">
    <xdr:from>
      <xdr:col>7</xdr:col>
      <xdr:colOff>476250</xdr:colOff>
      <xdr:row>281</xdr:row>
      <xdr:rowOff>123825</xdr:rowOff>
    </xdr:from>
    <xdr:to>
      <xdr:col>12</xdr:col>
      <xdr:colOff>495848</xdr:colOff>
      <xdr:row>287</xdr:row>
      <xdr:rowOff>76358</xdr:rowOff>
    </xdr:to>
    <xdr:pic>
      <xdr:nvPicPr>
        <xdr:cNvPr id="33" name="Picture 32">
          <a:extLst>
            <a:ext uri="{FF2B5EF4-FFF2-40B4-BE49-F238E27FC236}">
              <a16:creationId xmlns:a16="http://schemas.microsoft.com/office/drawing/2014/main" id="{CF447181-89C2-19B9-2BCA-2D1CF24AFB06}"/>
            </a:ext>
          </a:extLst>
        </xdr:cNvPr>
        <xdr:cNvPicPr>
          <a:picLocks noChangeAspect="1"/>
        </xdr:cNvPicPr>
      </xdr:nvPicPr>
      <xdr:blipFill>
        <a:blip xmlns:r="http://schemas.openxmlformats.org/officeDocument/2006/relationships" r:embed="rId12"/>
        <a:stretch>
          <a:fillRect/>
        </a:stretch>
      </xdr:blipFill>
      <xdr:spPr>
        <a:xfrm>
          <a:off x="10353675" y="56321325"/>
          <a:ext cx="3924848" cy="1133633"/>
        </a:xfrm>
        <a:prstGeom prst="rect">
          <a:avLst/>
        </a:prstGeom>
      </xdr:spPr>
    </xdr:pic>
    <xdr:clientData/>
  </xdr:twoCellAnchor>
  <xdr:twoCellAnchor editAs="oneCell">
    <xdr:from>
      <xdr:col>1</xdr:col>
      <xdr:colOff>104775</xdr:colOff>
      <xdr:row>295</xdr:row>
      <xdr:rowOff>28575</xdr:rowOff>
    </xdr:from>
    <xdr:to>
      <xdr:col>2</xdr:col>
      <xdr:colOff>572032</xdr:colOff>
      <xdr:row>301</xdr:row>
      <xdr:rowOff>57316</xdr:rowOff>
    </xdr:to>
    <xdr:pic>
      <xdr:nvPicPr>
        <xdr:cNvPr id="34" name="Picture 33">
          <a:extLst>
            <a:ext uri="{FF2B5EF4-FFF2-40B4-BE49-F238E27FC236}">
              <a16:creationId xmlns:a16="http://schemas.microsoft.com/office/drawing/2014/main" id="{A250B594-097B-DA59-B3D9-6F0D576AACEF}"/>
            </a:ext>
          </a:extLst>
        </xdr:cNvPr>
        <xdr:cNvPicPr>
          <a:picLocks noChangeAspect="1"/>
        </xdr:cNvPicPr>
      </xdr:nvPicPr>
      <xdr:blipFill>
        <a:blip xmlns:r="http://schemas.openxmlformats.org/officeDocument/2006/relationships" r:embed="rId13"/>
        <a:stretch>
          <a:fillRect/>
        </a:stretch>
      </xdr:blipFill>
      <xdr:spPr>
        <a:xfrm>
          <a:off x="600075" y="56178450"/>
          <a:ext cx="3810532" cy="1190791"/>
        </a:xfrm>
        <a:prstGeom prst="rect">
          <a:avLst/>
        </a:prstGeom>
      </xdr:spPr>
    </xdr:pic>
    <xdr:clientData/>
  </xdr:twoCellAnchor>
  <xdr:twoCellAnchor editAs="oneCell">
    <xdr:from>
      <xdr:col>1</xdr:col>
      <xdr:colOff>66675</xdr:colOff>
      <xdr:row>302</xdr:row>
      <xdr:rowOff>0</xdr:rowOff>
    </xdr:from>
    <xdr:to>
      <xdr:col>6</xdr:col>
      <xdr:colOff>115276</xdr:colOff>
      <xdr:row>318</xdr:row>
      <xdr:rowOff>171899</xdr:rowOff>
    </xdr:to>
    <xdr:pic>
      <xdr:nvPicPr>
        <xdr:cNvPr id="35" name="Picture 34">
          <a:extLst>
            <a:ext uri="{FF2B5EF4-FFF2-40B4-BE49-F238E27FC236}">
              <a16:creationId xmlns:a16="http://schemas.microsoft.com/office/drawing/2014/main" id="{B88DE6F5-C95C-6D79-1173-C24A54DF4BD1}"/>
            </a:ext>
          </a:extLst>
        </xdr:cNvPr>
        <xdr:cNvPicPr>
          <a:picLocks noChangeAspect="1"/>
        </xdr:cNvPicPr>
      </xdr:nvPicPr>
      <xdr:blipFill>
        <a:blip xmlns:r="http://schemas.openxmlformats.org/officeDocument/2006/relationships" r:embed="rId14"/>
        <a:stretch>
          <a:fillRect/>
        </a:stretch>
      </xdr:blipFill>
      <xdr:spPr>
        <a:xfrm>
          <a:off x="561975" y="57521475"/>
          <a:ext cx="6992326" cy="3219899"/>
        </a:xfrm>
        <a:prstGeom prst="rect">
          <a:avLst/>
        </a:prstGeom>
      </xdr:spPr>
    </xdr:pic>
    <xdr:clientData/>
  </xdr:twoCellAnchor>
  <xdr:twoCellAnchor editAs="oneCell">
    <xdr:from>
      <xdr:col>1</xdr:col>
      <xdr:colOff>523875</xdr:colOff>
      <xdr:row>356</xdr:row>
      <xdr:rowOff>66675</xdr:rowOff>
    </xdr:from>
    <xdr:to>
      <xdr:col>2</xdr:col>
      <xdr:colOff>1057816</xdr:colOff>
      <xdr:row>361</xdr:row>
      <xdr:rowOff>181128</xdr:rowOff>
    </xdr:to>
    <xdr:pic>
      <xdr:nvPicPr>
        <xdr:cNvPr id="36" name="Picture 35">
          <a:extLst>
            <a:ext uri="{FF2B5EF4-FFF2-40B4-BE49-F238E27FC236}">
              <a16:creationId xmlns:a16="http://schemas.microsoft.com/office/drawing/2014/main" id="{8820523B-3D7C-7AAE-4A8F-FD779044DE54}"/>
            </a:ext>
          </a:extLst>
        </xdr:cNvPr>
        <xdr:cNvPicPr>
          <a:picLocks noChangeAspect="1"/>
        </xdr:cNvPicPr>
      </xdr:nvPicPr>
      <xdr:blipFill>
        <a:blip xmlns:r="http://schemas.openxmlformats.org/officeDocument/2006/relationships" r:embed="rId15"/>
        <a:stretch>
          <a:fillRect/>
        </a:stretch>
      </xdr:blipFill>
      <xdr:spPr>
        <a:xfrm>
          <a:off x="1019175" y="68179950"/>
          <a:ext cx="3877216" cy="1095528"/>
        </a:xfrm>
        <a:prstGeom prst="rect">
          <a:avLst/>
        </a:prstGeom>
      </xdr:spPr>
    </xdr:pic>
    <xdr:clientData/>
  </xdr:twoCellAnchor>
  <xdr:twoCellAnchor editAs="oneCell">
    <xdr:from>
      <xdr:col>1</xdr:col>
      <xdr:colOff>28575</xdr:colOff>
      <xdr:row>363</xdr:row>
      <xdr:rowOff>95250</xdr:rowOff>
    </xdr:from>
    <xdr:to>
      <xdr:col>6</xdr:col>
      <xdr:colOff>67649</xdr:colOff>
      <xdr:row>379</xdr:row>
      <xdr:rowOff>124254</xdr:rowOff>
    </xdr:to>
    <xdr:pic>
      <xdr:nvPicPr>
        <xdr:cNvPr id="37" name="Picture 36">
          <a:extLst>
            <a:ext uri="{FF2B5EF4-FFF2-40B4-BE49-F238E27FC236}">
              <a16:creationId xmlns:a16="http://schemas.microsoft.com/office/drawing/2014/main" id="{91C8CDBE-F58A-16C9-60CD-7F791BC4F117}"/>
            </a:ext>
          </a:extLst>
        </xdr:cNvPr>
        <xdr:cNvPicPr>
          <a:picLocks noChangeAspect="1"/>
        </xdr:cNvPicPr>
      </xdr:nvPicPr>
      <xdr:blipFill>
        <a:blip xmlns:r="http://schemas.openxmlformats.org/officeDocument/2006/relationships" r:embed="rId16"/>
        <a:stretch>
          <a:fillRect/>
        </a:stretch>
      </xdr:blipFill>
      <xdr:spPr>
        <a:xfrm>
          <a:off x="523875" y="69570600"/>
          <a:ext cx="6982799" cy="3077004"/>
        </a:xfrm>
        <a:prstGeom prst="rect">
          <a:avLst/>
        </a:prstGeom>
      </xdr:spPr>
    </xdr:pic>
    <xdr:clientData/>
  </xdr:twoCellAnchor>
  <xdr:twoCellAnchor editAs="oneCell">
    <xdr:from>
      <xdr:col>1</xdr:col>
      <xdr:colOff>514350</xdr:colOff>
      <xdr:row>325</xdr:row>
      <xdr:rowOff>123825</xdr:rowOff>
    </xdr:from>
    <xdr:to>
      <xdr:col>2</xdr:col>
      <xdr:colOff>1076870</xdr:colOff>
      <xdr:row>331</xdr:row>
      <xdr:rowOff>95411</xdr:rowOff>
    </xdr:to>
    <xdr:pic>
      <xdr:nvPicPr>
        <xdr:cNvPr id="38" name="Picture 37">
          <a:extLst>
            <a:ext uri="{FF2B5EF4-FFF2-40B4-BE49-F238E27FC236}">
              <a16:creationId xmlns:a16="http://schemas.microsoft.com/office/drawing/2014/main" id="{795F5619-7F3E-6543-25BB-D93C422E8655}"/>
            </a:ext>
          </a:extLst>
        </xdr:cNvPr>
        <xdr:cNvPicPr>
          <a:picLocks noChangeAspect="1"/>
        </xdr:cNvPicPr>
      </xdr:nvPicPr>
      <xdr:blipFill>
        <a:blip xmlns:r="http://schemas.openxmlformats.org/officeDocument/2006/relationships" r:embed="rId17"/>
        <a:stretch>
          <a:fillRect/>
        </a:stretch>
      </xdr:blipFill>
      <xdr:spPr>
        <a:xfrm>
          <a:off x="1009650" y="62150625"/>
          <a:ext cx="3905795" cy="1152686"/>
        </a:xfrm>
        <a:prstGeom prst="rect">
          <a:avLst/>
        </a:prstGeom>
      </xdr:spPr>
    </xdr:pic>
    <xdr:clientData/>
  </xdr:twoCellAnchor>
  <xdr:twoCellAnchor editAs="oneCell">
    <xdr:from>
      <xdr:col>0</xdr:col>
      <xdr:colOff>419100</xdr:colOff>
      <xdr:row>332</xdr:row>
      <xdr:rowOff>171450</xdr:rowOff>
    </xdr:from>
    <xdr:to>
      <xdr:col>5</xdr:col>
      <xdr:colOff>1074119</xdr:colOff>
      <xdr:row>349</xdr:row>
      <xdr:rowOff>76646</xdr:rowOff>
    </xdr:to>
    <xdr:pic>
      <xdr:nvPicPr>
        <xdr:cNvPr id="39" name="Picture 38">
          <a:extLst>
            <a:ext uri="{FF2B5EF4-FFF2-40B4-BE49-F238E27FC236}">
              <a16:creationId xmlns:a16="http://schemas.microsoft.com/office/drawing/2014/main" id="{4E15420A-74BC-244F-9BBC-136DCF164F6A}"/>
            </a:ext>
          </a:extLst>
        </xdr:cNvPr>
        <xdr:cNvPicPr>
          <a:picLocks noChangeAspect="1"/>
        </xdr:cNvPicPr>
      </xdr:nvPicPr>
      <xdr:blipFill>
        <a:blip xmlns:r="http://schemas.openxmlformats.org/officeDocument/2006/relationships" r:embed="rId18"/>
        <a:stretch>
          <a:fillRect/>
        </a:stretch>
      </xdr:blipFill>
      <xdr:spPr>
        <a:xfrm>
          <a:off x="419100" y="63560325"/>
          <a:ext cx="6944694" cy="3191320"/>
        </a:xfrm>
        <a:prstGeom prst="rect">
          <a:avLst/>
        </a:prstGeom>
      </xdr:spPr>
    </xdr:pic>
    <xdr:clientData/>
  </xdr:twoCellAnchor>
  <xdr:twoCellAnchor editAs="oneCell">
    <xdr:from>
      <xdr:col>1</xdr:col>
      <xdr:colOff>838200</xdr:colOff>
      <xdr:row>405</xdr:row>
      <xdr:rowOff>95250</xdr:rowOff>
    </xdr:from>
    <xdr:to>
      <xdr:col>3</xdr:col>
      <xdr:colOff>156116</xdr:colOff>
      <xdr:row>411</xdr:row>
      <xdr:rowOff>104936</xdr:rowOff>
    </xdr:to>
    <xdr:pic>
      <xdr:nvPicPr>
        <xdr:cNvPr id="40" name="Picture 39">
          <a:extLst>
            <a:ext uri="{FF2B5EF4-FFF2-40B4-BE49-F238E27FC236}">
              <a16:creationId xmlns:a16="http://schemas.microsoft.com/office/drawing/2014/main" id="{2FD3ACA3-DA2F-4566-21AA-BFAE86AF8C33}"/>
            </a:ext>
          </a:extLst>
        </xdr:cNvPr>
        <xdr:cNvPicPr>
          <a:picLocks noChangeAspect="1"/>
        </xdr:cNvPicPr>
      </xdr:nvPicPr>
      <xdr:blipFill>
        <a:blip xmlns:r="http://schemas.openxmlformats.org/officeDocument/2006/relationships" r:embed="rId19"/>
        <a:stretch>
          <a:fillRect/>
        </a:stretch>
      </xdr:blipFill>
      <xdr:spPr>
        <a:xfrm>
          <a:off x="1333500" y="77762100"/>
          <a:ext cx="3877216" cy="1152686"/>
        </a:xfrm>
        <a:prstGeom prst="rect">
          <a:avLst/>
        </a:prstGeom>
      </xdr:spPr>
    </xdr:pic>
    <xdr:clientData/>
  </xdr:twoCellAnchor>
  <xdr:twoCellAnchor editAs="oneCell">
    <xdr:from>
      <xdr:col>1</xdr:col>
      <xdr:colOff>247650</xdr:colOff>
      <xdr:row>412</xdr:row>
      <xdr:rowOff>76200</xdr:rowOff>
    </xdr:from>
    <xdr:to>
      <xdr:col>6</xdr:col>
      <xdr:colOff>296251</xdr:colOff>
      <xdr:row>428</xdr:row>
      <xdr:rowOff>143310</xdr:rowOff>
    </xdr:to>
    <xdr:pic>
      <xdr:nvPicPr>
        <xdr:cNvPr id="41" name="Picture 40">
          <a:extLst>
            <a:ext uri="{FF2B5EF4-FFF2-40B4-BE49-F238E27FC236}">
              <a16:creationId xmlns:a16="http://schemas.microsoft.com/office/drawing/2014/main" id="{EA67BAEC-1B99-F0EA-8789-293F342A8139}"/>
            </a:ext>
          </a:extLst>
        </xdr:cNvPr>
        <xdr:cNvPicPr>
          <a:picLocks noChangeAspect="1"/>
        </xdr:cNvPicPr>
      </xdr:nvPicPr>
      <xdr:blipFill>
        <a:blip xmlns:r="http://schemas.openxmlformats.org/officeDocument/2006/relationships" r:embed="rId20"/>
        <a:stretch>
          <a:fillRect/>
        </a:stretch>
      </xdr:blipFill>
      <xdr:spPr>
        <a:xfrm>
          <a:off x="742950" y="79076550"/>
          <a:ext cx="6992326" cy="3115110"/>
        </a:xfrm>
        <a:prstGeom prst="rect">
          <a:avLst/>
        </a:prstGeom>
      </xdr:spPr>
    </xdr:pic>
    <xdr:clientData/>
  </xdr:twoCellAnchor>
  <xdr:twoCellAnchor editAs="oneCell">
    <xdr:from>
      <xdr:col>1</xdr:col>
      <xdr:colOff>704850</xdr:colOff>
      <xdr:row>176</xdr:row>
      <xdr:rowOff>57150</xdr:rowOff>
    </xdr:from>
    <xdr:to>
      <xdr:col>2</xdr:col>
      <xdr:colOff>1254661</xdr:colOff>
      <xdr:row>182</xdr:row>
      <xdr:rowOff>19208</xdr:rowOff>
    </xdr:to>
    <xdr:pic>
      <xdr:nvPicPr>
        <xdr:cNvPr id="46" name="Picture 45">
          <a:extLst>
            <a:ext uri="{FF2B5EF4-FFF2-40B4-BE49-F238E27FC236}">
              <a16:creationId xmlns:a16="http://schemas.microsoft.com/office/drawing/2014/main" id="{7CC4320F-9052-D3EC-85F5-46DD02D29D06}"/>
            </a:ext>
          </a:extLst>
        </xdr:cNvPr>
        <xdr:cNvPicPr>
          <a:picLocks noChangeAspect="1"/>
        </xdr:cNvPicPr>
      </xdr:nvPicPr>
      <xdr:blipFill>
        <a:blip xmlns:r="http://schemas.openxmlformats.org/officeDocument/2006/relationships" r:embed="rId21"/>
        <a:stretch>
          <a:fillRect/>
        </a:stretch>
      </xdr:blipFill>
      <xdr:spPr>
        <a:xfrm>
          <a:off x="1200150" y="33223200"/>
          <a:ext cx="3839111" cy="1133633"/>
        </a:xfrm>
        <a:prstGeom prst="rect">
          <a:avLst/>
        </a:prstGeom>
      </xdr:spPr>
    </xdr:pic>
    <xdr:clientData/>
  </xdr:twoCellAnchor>
  <xdr:twoCellAnchor editAs="oneCell">
    <xdr:from>
      <xdr:col>1</xdr:col>
      <xdr:colOff>171450</xdr:colOff>
      <xdr:row>182</xdr:row>
      <xdr:rowOff>28575</xdr:rowOff>
    </xdr:from>
    <xdr:to>
      <xdr:col>6</xdr:col>
      <xdr:colOff>96209</xdr:colOff>
      <xdr:row>198</xdr:row>
      <xdr:rowOff>152843</xdr:rowOff>
    </xdr:to>
    <xdr:pic>
      <xdr:nvPicPr>
        <xdr:cNvPr id="47" name="Picture 46">
          <a:extLst>
            <a:ext uri="{FF2B5EF4-FFF2-40B4-BE49-F238E27FC236}">
              <a16:creationId xmlns:a16="http://schemas.microsoft.com/office/drawing/2014/main" id="{DFFCBE5A-6EB5-5CA7-0D2C-E992C76DCD0A}"/>
            </a:ext>
          </a:extLst>
        </xdr:cNvPr>
        <xdr:cNvPicPr>
          <a:picLocks noChangeAspect="1"/>
        </xdr:cNvPicPr>
      </xdr:nvPicPr>
      <xdr:blipFill>
        <a:blip xmlns:r="http://schemas.openxmlformats.org/officeDocument/2006/relationships" r:embed="rId22"/>
        <a:stretch>
          <a:fillRect/>
        </a:stretch>
      </xdr:blipFill>
      <xdr:spPr>
        <a:xfrm>
          <a:off x="666750" y="34366200"/>
          <a:ext cx="6868484" cy="3172268"/>
        </a:xfrm>
        <a:prstGeom prst="rect">
          <a:avLst/>
        </a:prstGeom>
      </xdr:spPr>
    </xdr:pic>
    <xdr:clientData/>
  </xdr:twoCellAnchor>
  <xdr:oneCellAnchor>
    <xdr:from>
      <xdr:col>6</xdr:col>
      <xdr:colOff>107950</xdr:colOff>
      <xdr:row>46</xdr:row>
      <xdr:rowOff>161925</xdr:rowOff>
    </xdr:from>
    <xdr:ext cx="914528" cy="809739"/>
    <xdr:pic>
      <xdr:nvPicPr>
        <xdr:cNvPr id="49" name="Picture 48">
          <a:extLst>
            <a:ext uri="{FF2B5EF4-FFF2-40B4-BE49-F238E27FC236}">
              <a16:creationId xmlns:a16="http://schemas.microsoft.com/office/drawing/2014/main" id="{2B0321B5-E3EF-454C-B151-504B061D3427}"/>
            </a:ext>
          </a:extLst>
        </xdr:cNvPr>
        <xdr:cNvPicPr>
          <a:picLocks noChangeAspect="1"/>
        </xdr:cNvPicPr>
      </xdr:nvPicPr>
      <xdr:blipFill>
        <a:blip xmlns:r="http://schemas.openxmlformats.org/officeDocument/2006/relationships" r:embed="rId10"/>
        <a:stretch>
          <a:fillRect/>
        </a:stretch>
      </xdr:blipFill>
      <xdr:spPr>
        <a:xfrm>
          <a:off x="7823200" y="8537575"/>
          <a:ext cx="914528" cy="809739"/>
        </a:xfrm>
        <a:prstGeom prst="rect">
          <a:avLst/>
        </a:prstGeom>
      </xdr:spPr>
    </xdr:pic>
    <xdr:clientData/>
  </xdr:oneCellAnchor>
  <xdr:oneCellAnchor>
    <xdr:from>
      <xdr:col>5</xdr:col>
      <xdr:colOff>136525</xdr:colOff>
      <xdr:row>46</xdr:row>
      <xdr:rowOff>165100</xdr:rowOff>
    </xdr:from>
    <xdr:ext cx="981212" cy="752579"/>
    <xdr:pic>
      <xdr:nvPicPr>
        <xdr:cNvPr id="50" name="Picture 49">
          <a:extLst>
            <a:ext uri="{FF2B5EF4-FFF2-40B4-BE49-F238E27FC236}">
              <a16:creationId xmlns:a16="http://schemas.microsoft.com/office/drawing/2014/main" id="{BD2779CF-D6B5-4A02-BA79-B8CC5F450DF1}"/>
            </a:ext>
          </a:extLst>
        </xdr:cNvPr>
        <xdr:cNvPicPr>
          <a:picLocks noChangeAspect="1"/>
        </xdr:cNvPicPr>
      </xdr:nvPicPr>
      <xdr:blipFill>
        <a:blip xmlns:r="http://schemas.openxmlformats.org/officeDocument/2006/relationships" r:embed="rId11"/>
        <a:stretch>
          <a:fillRect/>
        </a:stretch>
      </xdr:blipFill>
      <xdr:spPr>
        <a:xfrm>
          <a:off x="6702425" y="8540750"/>
          <a:ext cx="981212" cy="752579"/>
        </a:xfrm>
        <a:prstGeom prst="rect">
          <a:avLst/>
        </a:prstGeom>
      </xdr:spPr>
    </xdr:pic>
    <xdr:clientData/>
  </xdr:oneCellAnchor>
  <xdr:twoCellAnchor>
    <xdr:from>
      <xdr:col>5</xdr:col>
      <xdr:colOff>0</xdr:colOff>
      <xdr:row>3</xdr:row>
      <xdr:rowOff>6350</xdr:rowOff>
    </xdr:from>
    <xdr:to>
      <xdr:col>9</xdr:col>
      <xdr:colOff>685800</xdr:colOff>
      <xdr:row>28</xdr:row>
      <xdr:rowOff>95250</xdr:rowOff>
    </xdr:to>
    <xdr:sp macro="" textlink="">
      <xdr:nvSpPr>
        <xdr:cNvPr id="2" name="TextBox 1">
          <a:extLst>
            <a:ext uri="{FF2B5EF4-FFF2-40B4-BE49-F238E27FC236}">
              <a16:creationId xmlns:a16="http://schemas.microsoft.com/office/drawing/2014/main" id="{6AAA0AA3-8F3D-7E35-589B-4F98343C01E9}"/>
            </a:ext>
          </a:extLst>
        </xdr:cNvPr>
        <xdr:cNvSpPr txBox="1"/>
      </xdr:nvSpPr>
      <xdr:spPr>
        <a:xfrm>
          <a:off x="6496050" y="654050"/>
          <a:ext cx="4483100"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pPr algn="ctr" rtl="0"/>
          <a:r>
            <a:rPr lang="en-US" sz="1400" b="1" i="0" baseline="0">
              <a:solidFill>
                <a:schemeClr val="dk1"/>
              </a:solidFill>
              <a:effectLst/>
              <a:latin typeface="Arial" panose="020B0604020202020204" pitchFamily="34" charset="0"/>
              <a:ea typeface="+mn-ea"/>
              <a:cs typeface="Arial" panose="020B0604020202020204" pitchFamily="34" charset="0"/>
            </a:rPr>
            <a:t>Coal-Fired Steam Cycle Power Plant </a:t>
          </a:r>
          <a:endParaRPr lang="en-US" sz="1600" b="1" i="0" baseline="0">
            <a:solidFill>
              <a:schemeClr val="dk1"/>
            </a:solidFill>
            <a:effectLst/>
            <a:latin typeface="Arial" panose="020B0604020202020204" pitchFamily="34" charset="0"/>
            <a:ea typeface="+mn-ea"/>
            <a:cs typeface="Arial" panose="020B0604020202020204" pitchFamily="34" charset="0"/>
          </a:endParaRPr>
        </a:p>
        <a:p>
          <a:pPr rtl="0"/>
          <a:endParaRPr lang="en-US" sz="1200" b="1" i="0" baseline="0">
            <a:solidFill>
              <a:schemeClr val="dk1"/>
            </a:solidFill>
            <a:effectLst/>
            <a:latin typeface="Arial" panose="020B0604020202020204" pitchFamily="34" charset="0"/>
            <a:ea typeface="+mn-ea"/>
            <a:cs typeface="Arial" panose="020B0604020202020204" pitchFamily="34" charset="0"/>
          </a:endParaRPr>
        </a:p>
        <a:p>
          <a:pPr rtl="0"/>
          <a:r>
            <a:rPr lang="en-US" sz="1200" b="1" i="0" baseline="0">
              <a:solidFill>
                <a:schemeClr val="dk1"/>
              </a:solidFill>
              <a:effectLst/>
              <a:latin typeface="Arial" panose="020B0604020202020204" pitchFamily="34" charset="0"/>
              <a:ea typeface="+mn-ea"/>
              <a:cs typeface="Arial" panose="020B0604020202020204" pitchFamily="34" charset="0"/>
            </a:rPr>
            <a:t>A typical coal-fired steam cycle power plant the operating pressure is 2400 psi. </a:t>
          </a:r>
        </a:p>
        <a:p>
          <a:pPr rtl="0"/>
          <a:endParaRPr lang="en-US" sz="1200">
            <a:effectLst/>
            <a:latin typeface="Arial" panose="020B0604020202020204" pitchFamily="34" charset="0"/>
            <a:cs typeface="Arial" panose="020B0604020202020204" pitchFamily="34" charset="0"/>
          </a:endParaRPr>
        </a:p>
        <a:p>
          <a:pPr rtl="0"/>
          <a:r>
            <a:rPr lang="en-US" sz="1200" b="1" i="0" baseline="0">
              <a:solidFill>
                <a:schemeClr val="dk1"/>
              </a:solidFill>
              <a:effectLst/>
              <a:latin typeface="Arial" panose="020B0604020202020204" pitchFamily="34" charset="0"/>
              <a:ea typeface="+mn-ea"/>
              <a:cs typeface="Arial" panose="020B0604020202020204" pitchFamily="34" charset="0"/>
            </a:rPr>
            <a:t>Steam temperature is typically 1000 or 1050 degrees F.</a:t>
          </a:r>
        </a:p>
        <a:p>
          <a:pPr rtl="0"/>
          <a:endParaRPr lang="en-US" sz="1200" b="1" i="0" baseline="0">
            <a:solidFill>
              <a:schemeClr val="dk1"/>
            </a:solidFill>
            <a:effectLst/>
            <a:latin typeface="Arial" panose="020B0604020202020204" pitchFamily="34" charset="0"/>
            <a:ea typeface="+mn-ea"/>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Steam temperature is limited by available materials that can survive at elevated temperatures.</a:t>
          </a:r>
        </a:p>
        <a:p>
          <a:pPr rtl="0"/>
          <a:endParaRPr lang="en-US" sz="1200" b="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Most larger units have a reheat cycle where the steam produced in the boiler, passes through a portion of the turbine and is "reheated" in the boiler and then goes through</a:t>
          </a:r>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the remainder of the turbine. </a:t>
          </a:r>
        </a:p>
        <a:p>
          <a:pP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This increases the efficiency of the cycle without increasing the maximum steam temperatures.</a:t>
          </a:r>
        </a:p>
        <a:p>
          <a:pP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The operating pressure of conventional coal-fired power plants can be classified as sub critical or supercritical.</a:t>
          </a:r>
        </a:p>
        <a:p>
          <a:pPr rtl="0"/>
          <a:endParaRPr lang="en-US" sz="1200">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The critical point is where the temperature and pressure are such that the fluid is no longer classified exclusively as liquid or gas. It is thought of as a fluid above the critical point. </a:t>
          </a:r>
        </a:p>
        <a:p>
          <a:pPr rtl="0"/>
          <a:endParaRPr lang="en-US" sz="1200" b="1" i="0" baseline="0">
            <a:solidFill>
              <a:schemeClr val="dk1"/>
            </a:solidFill>
            <a:effectLst/>
            <a:latin typeface="Arial" panose="020B0604020202020204" pitchFamily="34" charset="0"/>
            <a:ea typeface="+mn-ea"/>
            <a:cs typeface="Arial" panose="020B0604020202020204" pitchFamily="34" charset="0"/>
          </a:endParaRPr>
        </a:p>
        <a:p>
          <a:pPr rtl="0"/>
          <a:r>
            <a:rPr lang="en-US" sz="1200" b="1" i="0" baseline="0">
              <a:solidFill>
                <a:schemeClr val="dk1"/>
              </a:solidFill>
              <a:effectLst/>
              <a:latin typeface="Arial" panose="020B0604020202020204" pitchFamily="34" charset="0"/>
              <a:ea typeface="+mn-ea"/>
              <a:cs typeface="Arial" panose="020B0604020202020204" pitchFamily="34" charset="0"/>
            </a:rPr>
            <a:t>The critical point for water is slightly above 3200 psi. </a:t>
          </a:r>
          <a:endParaRPr lang="en-US" sz="1200">
            <a:effectLst/>
            <a:latin typeface="Arial" panose="020B0604020202020204" pitchFamily="34" charset="0"/>
            <a:cs typeface="Arial" panose="020B0604020202020204" pitchFamily="34" charset="0"/>
          </a:endParaRPr>
        </a:p>
        <a:p>
          <a:endParaRPr lang="en-US" sz="1100"/>
        </a:p>
      </xdr:txBody>
    </xdr:sp>
    <xdr:clientData/>
  </xdr:twoCellAnchor>
  <xdr:twoCellAnchor>
    <xdr:from>
      <xdr:col>11</xdr:col>
      <xdr:colOff>107950</xdr:colOff>
      <xdr:row>13</xdr:row>
      <xdr:rowOff>152400</xdr:rowOff>
    </xdr:from>
    <xdr:to>
      <xdr:col>18</xdr:col>
      <xdr:colOff>50800</xdr:colOff>
      <xdr:row>26</xdr:row>
      <xdr:rowOff>82550</xdr:rowOff>
    </xdr:to>
    <xdr:sp macro="" textlink="">
      <xdr:nvSpPr>
        <xdr:cNvPr id="4" name="TextBox 3">
          <a:extLst>
            <a:ext uri="{FF2B5EF4-FFF2-40B4-BE49-F238E27FC236}">
              <a16:creationId xmlns:a16="http://schemas.microsoft.com/office/drawing/2014/main" id="{5F84C8AD-4C1C-5B72-A053-FA0727DEC940}"/>
            </a:ext>
          </a:extLst>
        </xdr:cNvPr>
        <xdr:cNvSpPr txBox="1"/>
      </xdr:nvSpPr>
      <xdr:spPr>
        <a:xfrm>
          <a:off x="12058650" y="2768600"/>
          <a:ext cx="4432300" cy="248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400" b="1" i="0">
            <a:solidFill>
              <a:schemeClr val="dk1"/>
            </a:solidFill>
            <a:effectLst/>
            <a:latin typeface="Arial" panose="020B0604020202020204" pitchFamily="34" charset="0"/>
            <a:ea typeface="+mn-ea"/>
            <a:cs typeface="Arial" panose="020B0604020202020204" pitchFamily="34" charset="0"/>
          </a:endParaRPr>
        </a:p>
        <a:p>
          <a:pPr algn="ctr"/>
          <a:r>
            <a:rPr lang="en-US" sz="1400" b="1" i="0">
              <a:solidFill>
                <a:schemeClr val="dk1"/>
              </a:solidFill>
              <a:effectLst/>
              <a:latin typeface="Arial" panose="020B0604020202020204" pitchFamily="34" charset="0"/>
              <a:ea typeface="+mn-ea"/>
              <a:cs typeface="Arial" panose="020B0604020202020204" pitchFamily="34" charset="0"/>
            </a:rPr>
            <a:t>Staem Tiurbine Power</a:t>
          </a:r>
        </a:p>
        <a:p>
          <a:pPr algn="ctr"/>
          <a:endParaRPr lang="en-US" sz="1100" b="0" i="0">
            <a:solidFill>
              <a:schemeClr val="dk1"/>
            </a:solidFill>
            <a:effectLst/>
            <a:latin typeface="+mn-lt"/>
            <a:ea typeface="+mn-ea"/>
            <a:cs typeface="+mn-cs"/>
          </a:endParaRPr>
        </a:p>
        <a:p>
          <a:r>
            <a:rPr lang="en-US" sz="1200" b="0" i="0">
              <a:solidFill>
                <a:schemeClr val="dk1"/>
              </a:solidFill>
              <a:effectLst/>
              <a:latin typeface="Arial" panose="020B0604020202020204" pitchFamily="34" charset="0"/>
              <a:ea typeface="+mn-ea"/>
              <a:cs typeface="Arial" panose="020B0604020202020204" pitchFamily="34" charset="0"/>
            </a:rPr>
            <a:t>The unit work equation is: </a:t>
          </a:r>
          <a:r>
            <a:rPr lang="en-US" sz="1200" b="1" i="0">
              <a:solidFill>
                <a:schemeClr val="dk1"/>
              </a:solidFill>
              <a:effectLst/>
              <a:latin typeface="Arial" panose="020B0604020202020204" pitchFamily="34" charset="0"/>
              <a:ea typeface="+mn-ea"/>
              <a:cs typeface="Arial" panose="020B0604020202020204" pitchFamily="34" charset="0"/>
            </a:rPr>
            <a:t>w</a:t>
          </a:r>
          <a:r>
            <a:rPr lang="en-US" sz="1200" b="1" i="0" baseline="-25000">
              <a:solidFill>
                <a:schemeClr val="dk1"/>
              </a:solidFill>
              <a:effectLst/>
              <a:latin typeface="Arial" panose="020B0604020202020204" pitchFamily="34" charset="0"/>
              <a:ea typeface="+mn-ea"/>
              <a:cs typeface="Arial" panose="020B0604020202020204" pitchFamily="34" charset="0"/>
            </a:rPr>
            <a:t>t</a:t>
          </a:r>
          <a:r>
            <a:rPr lang="en-US" sz="1200" b="1" i="0">
              <a:solidFill>
                <a:schemeClr val="dk1"/>
              </a:solidFill>
              <a:effectLst/>
              <a:latin typeface="Arial" panose="020B0604020202020204" pitchFamily="34" charset="0"/>
              <a:ea typeface="+mn-ea"/>
              <a:cs typeface="Arial" panose="020B0604020202020204" pitchFamily="34" charset="0"/>
            </a:rPr>
            <a:t> = (inlet steam enthalpy – cold reheat enthalpy) + (hot reheat enthalpy – turbine exhaust enthalpy)</a:t>
          </a:r>
          <a:r>
            <a:rPr lang="en-US" sz="1200" b="0" i="0">
              <a:solidFill>
                <a:schemeClr val="dk1"/>
              </a:solidFill>
              <a:effectLst/>
              <a:latin typeface="Arial" panose="020B0604020202020204" pitchFamily="34" charset="0"/>
              <a:ea typeface="+mn-ea"/>
              <a:cs typeface="Arial" panose="020B0604020202020204" pitchFamily="34" charset="0"/>
            </a:rPr>
            <a:t>. </a:t>
          </a:r>
        </a:p>
        <a:p>
          <a:r>
            <a:rPr lang="en-US" sz="1200" b="0" i="0">
              <a:solidFill>
                <a:schemeClr val="dk1"/>
              </a:solidFill>
              <a:effectLst/>
              <a:latin typeface="Arial" panose="020B0604020202020204" pitchFamily="34" charset="0"/>
              <a:ea typeface="+mn-ea"/>
              <a:cs typeface="Arial" panose="020B0604020202020204" pitchFamily="34" charset="0"/>
            </a:rPr>
            <a:t>In this case, </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wt = (1,474.1 – 1,248.1) + (1,526.5 – 1,003.9) = 748.6 Btu/lbm. </a:t>
          </a:r>
        </a:p>
        <a:p>
          <a:endParaRPr lang="en-US" sz="1200" b="0" i="0">
            <a:solidFill>
              <a:schemeClr val="dk1"/>
            </a:solidFill>
            <a:effectLst/>
            <a:latin typeface="Arial" panose="020B0604020202020204" pitchFamily="34" charset="0"/>
            <a:ea typeface="+mn-ea"/>
            <a:cs typeface="Arial" panose="020B0604020202020204" pitchFamily="34" charset="0"/>
          </a:endParaRPr>
        </a:p>
        <a:p>
          <a:r>
            <a:rPr lang="en-US" sz="1200" b="0" i="0">
              <a:solidFill>
                <a:schemeClr val="dk1"/>
              </a:solidFill>
              <a:effectLst/>
              <a:latin typeface="Arial" panose="020B0604020202020204" pitchFamily="34" charset="0"/>
              <a:ea typeface="+mn-ea"/>
              <a:cs typeface="Arial" panose="020B0604020202020204" pitchFamily="34" charset="0"/>
            </a:rPr>
            <a:t>As can be seen, reheating considerably increases the work output as compared to a</a:t>
          </a:r>
          <a:r>
            <a:rPr lang="en-US" sz="1200" b="0" i="0" baseline="0">
              <a:solidFill>
                <a:schemeClr val="dk1"/>
              </a:solidFill>
              <a:effectLst/>
              <a:latin typeface="Arial" panose="020B0604020202020204" pitchFamily="34" charset="0"/>
              <a:ea typeface="+mn-ea"/>
              <a:cs typeface="Arial" panose="020B0604020202020204" pitchFamily="34" charset="0"/>
            </a:rPr>
            <a:t> </a:t>
          </a:r>
          <a:r>
            <a:rPr lang="en-US" sz="1200" b="0" i="0">
              <a:solidFill>
                <a:schemeClr val="dk1"/>
              </a:solidFill>
              <a:effectLst/>
              <a:latin typeface="Arial" panose="020B0604020202020204" pitchFamily="34" charset="0"/>
              <a:ea typeface="+mn-ea"/>
              <a:cs typeface="Arial" panose="020B0604020202020204" pitchFamily="34" charset="0"/>
            </a:rPr>
            <a:t>non-reheat example.</a:t>
          </a:r>
          <a:endParaRPr lang="en-US" sz="1200">
            <a:latin typeface="Arial" panose="020B0604020202020204" pitchFamily="34" charset="0"/>
            <a:cs typeface="Arial" panose="020B0604020202020204" pitchFamily="34" charset="0"/>
          </a:endParaRPr>
        </a:p>
      </xdr:txBody>
    </xdr:sp>
    <xdr:clientData/>
  </xdr:twoCellAnchor>
  <xdr:twoCellAnchor editAs="oneCell">
    <xdr:from>
      <xdr:col>3</xdr:col>
      <xdr:colOff>209549</xdr:colOff>
      <xdr:row>48</xdr:row>
      <xdr:rowOff>25400</xdr:rowOff>
    </xdr:from>
    <xdr:to>
      <xdr:col>4</xdr:col>
      <xdr:colOff>565148</xdr:colOff>
      <xdr:row>50</xdr:row>
      <xdr:rowOff>88900</xdr:rowOff>
    </xdr:to>
    <xdr:pic>
      <xdr:nvPicPr>
        <xdr:cNvPr id="5" name="Picture 4">
          <a:extLst>
            <a:ext uri="{FF2B5EF4-FFF2-40B4-BE49-F238E27FC236}">
              <a16:creationId xmlns:a16="http://schemas.microsoft.com/office/drawing/2014/main" id="{C2DC6189-3A1D-D7FE-FE0D-1C7ADED13D74}"/>
            </a:ext>
          </a:extLst>
        </xdr:cNvPr>
        <xdr:cNvPicPr>
          <a:picLocks noChangeAspect="1"/>
        </xdr:cNvPicPr>
      </xdr:nvPicPr>
      <xdr:blipFill>
        <a:blip xmlns:r="http://schemas.openxmlformats.org/officeDocument/2006/relationships" r:embed="rId23"/>
        <a:stretch>
          <a:fillRect/>
        </a:stretch>
      </xdr:blipFill>
      <xdr:spPr>
        <a:xfrm>
          <a:off x="5422899" y="8801100"/>
          <a:ext cx="1066799" cy="457200"/>
        </a:xfrm>
        <a:prstGeom prst="rect">
          <a:avLst/>
        </a:prstGeom>
      </xdr:spPr>
    </xdr:pic>
    <xdr:clientData/>
  </xdr:twoCellAnchor>
  <xdr:twoCellAnchor editAs="oneCell">
    <xdr:from>
      <xdr:col>1</xdr:col>
      <xdr:colOff>165100</xdr:colOff>
      <xdr:row>47</xdr:row>
      <xdr:rowOff>158750</xdr:rowOff>
    </xdr:from>
    <xdr:to>
      <xdr:col>2</xdr:col>
      <xdr:colOff>652585</xdr:colOff>
      <xdr:row>53</xdr:row>
      <xdr:rowOff>139700</xdr:rowOff>
    </xdr:to>
    <xdr:pic>
      <xdr:nvPicPr>
        <xdr:cNvPr id="8" name="Picture 7">
          <a:extLst>
            <a:ext uri="{FF2B5EF4-FFF2-40B4-BE49-F238E27FC236}">
              <a16:creationId xmlns:a16="http://schemas.microsoft.com/office/drawing/2014/main" id="{AC1A1FA5-8D24-C17E-463A-A5422271CF63}"/>
            </a:ext>
          </a:extLst>
        </xdr:cNvPr>
        <xdr:cNvPicPr>
          <a:picLocks noChangeAspect="1"/>
        </xdr:cNvPicPr>
      </xdr:nvPicPr>
      <xdr:blipFill>
        <a:blip xmlns:r="http://schemas.openxmlformats.org/officeDocument/2006/relationships" r:embed="rId24"/>
        <a:stretch>
          <a:fillRect/>
        </a:stretch>
      </xdr:blipFill>
      <xdr:spPr>
        <a:xfrm>
          <a:off x="685800" y="8743950"/>
          <a:ext cx="3992685" cy="1162050"/>
        </a:xfrm>
        <a:prstGeom prst="rect">
          <a:avLst/>
        </a:prstGeom>
      </xdr:spPr>
    </xdr:pic>
    <xdr:clientData/>
  </xdr:twoCellAnchor>
  <xdr:twoCellAnchor editAs="oneCell">
    <xdr:from>
      <xdr:col>0</xdr:col>
      <xdr:colOff>520699</xdr:colOff>
      <xdr:row>54</xdr:row>
      <xdr:rowOff>0</xdr:rowOff>
    </xdr:from>
    <xdr:to>
      <xdr:col>5</xdr:col>
      <xdr:colOff>832520</xdr:colOff>
      <xdr:row>68</xdr:row>
      <xdr:rowOff>165100</xdr:rowOff>
    </xdr:to>
    <xdr:pic>
      <xdr:nvPicPr>
        <xdr:cNvPr id="9" name="Picture 8">
          <a:extLst>
            <a:ext uri="{FF2B5EF4-FFF2-40B4-BE49-F238E27FC236}">
              <a16:creationId xmlns:a16="http://schemas.microsoft.com/office/drawing/2014/main" id="{B5D82B11-4C09-4E36-66BE-F35E023CBB36}"/>
            </a:ext>
          </a:extLst>
        </xdr:cNvPr>
        <xdr:cNvPicPr>
          <a:picLocks noChangeAspect="1"/>
        </xdr:cNvPicPr>
      </xdr:nvPicPr>
      <xdr:blipFill>
        <a:blip xmlns:r="http://schemas.openxmlformats.org/officeDocument/2006/relationships" r:embed="rId25"/>
        <a:stretch>
          <a:fillRect/>
        </a:stretch>
      </xdr:blipFill>
      <xdr:spPr>
        <a:xfrm>
          <a:off x="520699" y="9963150"/>
          <a:ext cx="6960271" cy="2921000"/>
        </a:xfrm>
        <a:prstGeom prst="rect">
          <a:avLst/>
        </a:prstGeom>
      </xdr:spPr>
    </xdr:pic>
    <xdr:clientData/>
  </xdr:twoCellAnchor>
  <xdr:twoCellAnchor editAs="oneCell">
    <xdr:from>
      <xdr:col>7</xdr:col>
      <xdr:colOff>850899</xdr:colOff>
      <xdr:row>47</xdr:row>
      <xdr:rowOff>0</xdr:rowOff>
    </xdr:from>
    <xdr:to>
      <xdr:col>13</xdr:col>
      <xdr:colOff>106678</xdr:colOff>
      <xdr:row>52</xdr:row>
      <xdr:rowOff>133350</xdr:rowOff>
    </xdr:to>
    <xdr:pic>
      <xdr:nvPicPr>
        <xdr:cNvPr id="10" name="Picture 9">
          <a:extLst>
            <a:ext uri="{FF2B5EF4-FFF2-40B4-BE49-F238E27FC236}">
              <a16:creationId xmlns:a16="http://schemas.microsoft.com/office/drawing/2014/main" id="{CDBC3454-E331-2294-BC46-1A4B2F3DBDEA}"/>
            </a:ext>
          </a:extLst>
        </xdr:cNvPr>
        <xdr:cNvPicPr>
          <a:picLocks noChangeAspect="1"/>
        </xdr:cNvPicPr>
      </xdr:nvPicPr>
      <xdr:blipFill>
        <a:blip xmlns:r="http://schemas.openxmlformats.org/officeDocument/2006/relationships" r:embed="rId26"/>
        <a:stretch>
          <a:fillRect/>
        </a:stretch>
      </xdr:blipFill>
      <xdr:spPr>
        <a:xfrm>
          <a:off x="9347199" y="8585200"/>
          <a:ext cx="3992879" cy="1117600"/>
        </a:xfrm>
        <a:prstGeom prst="rect">
          <a:avLst/>
        </a:prstGeom>
      </xdr:spPr>
    </xdr:pic>
    <xdr:clientData/>
  </xdr:twoCellAnchor>
  <xdr:twoCellAnchor editAs="oneCell">
    <xdr:from>
      <xdr:col>7</xdr:col>
      <xdr:colOff>0</xdr:colOff>
      <xdr:row>54</xdr:row>
      <xdr:rowOff>0</xdr:rowOff>
    </xdr:from>
    <xdr:to>
      <xdr:col>16</xdr:col>
      <xdr:colOff>142564</xdr:colOff>
      <xdr:row>68</xdr:row>
      <xdr:rowOff>139700</xdr:rowOff>
    </xdr:to>
    <xdr:pic>
      <xdr:nvPicPr>
        <xdr:cNvPr id="11" name="Picture 10">
          <a:extLst>
            <a:ext uri="{FF2B5EF4-FFF2-40B4-BE49-F238E27FC236}">
              <a16:creationId xmlns:a16="http://schemas.microsoft.com/office/drawing/2014/main" id="{6A9C7741-59C5-4943-6936-07979429CE60}"/>
            </a:ext>
          </a:extLst>
        </xdr:cNvPr>
        <xdr:cNvPicPr>
          <a:picLocks noChangeAspect="1"/>
        </xdr:cNvPicPr>
      </xdr:nvPicPr>
      <xdr:blipFill>
        <a:blip xmlns:r="http://schemas.openxmlformats.org/officeDocument/2006/relationships" r:embed="rId27"/>
        <a:stretch>
          <a:fillRect/>
        </a:stretch>
      </xdr:blipFill>
      <xdr:spPr>
        <a:xfrm>
          <a:off x="8496300" y="9963150"/>
          <a:ext cx="6803714" cy="2895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400049</xdr:colOff>
      <xdr:row>46</xdr:row>
      <xdr:rowOff>47625</xdr:rowOff>
    </xdr:from>
    <xdr:to>
      <xdr:col>3</xdr:col>
      <xdr:colOff>382042</xdr:colOff>
      <xdr:row>58</xdr:row>
      <xdr:rowOff>28575</xdr:rowOff>
    </xdr:to>
    <xdr:pic>
      <xdr:nvPicPr>
        <xdr:cNvPr id="32943" name="Picture 1" descr="Air Standard Otto Cycle-1">
          <a:extLst>
            <a:ext uri="{FF2B5EF4-FFF2-40B4-BE49-F238E27FC236}">
              <a16:creationId xmlns:a16="http://schemas.microsoft.com/office/drawing/2014/main" id="{54379858-707F-1FEE-CD31-F9E6F2F9F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4" y="8886825"/>
          <a:ext cx="4172993"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295275</xdr:colOff>
      <xdr:row>59</xdr:row>
      <xdr:rowOff>47626</xdr:rowOff>
    </xdr:from>
    <xdr:to>
      <xdr:col>4</xdr:col>
      <xdr:colOff>139694</xdr:colOff>
      <xdr:row>77</xdr:row>
      <xdr:rowOff>180984</xdr:rowOff>
    </xdr:to>
    <xdr:sp macro="" textlink="">
      <xdr:nvSpPr>
        <xdr:cNvPr id="3136" name="Text Box 3">
          <a:extLst>
            <a:ext uri="{FF2B5EF4-FFF2-40B4-BE49-F238E27FC236}">
              <a16:creationId xmlns:a16="http://schemas.microsoft.com/office/drawing/2014/main" id="{9AF05E3C-E194-6EBB-E577-7892E5C6641F}"/>
            </a:ext>
          </a:extLst>
        </xdr:cNvPr>
        <xdr:cNvSpPr txBox="1">
          <a:spLocks noChangeArrowheads="1"/>
        </xdr:cNvSpPr>
      </xdr:nvSpPr>
      <xdr:spPr bwMode="auto">
        <a:xfrm>
          <a:off x="914400" y="11363326"/>
          <a:ext cx="4806944" cy="3562358"/>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Thermal efficiency of the Otto Cycle </a:t>
          </a:r>
        </a:p>
        <a:p>
          <a:pPr algn="ctr" rtl="0">
            <a:defRPr sz="1000"/>
          </a:pPr>
          <a:endParaRPr lang="en-US" sz="14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Can be found by several ways: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r>
            <a:rPr lang="el-GR" sz="1200" b="1" i="0" u="none" strike="noStrike" baseline="0">
              <a:solidFill>
                <a:srgbClr val="000000"/>
              </a:solidFill>
              <a:latin typeface="Arial"/>
              <a:cs typeface="Arial"/>
            </a:rPr>
            <a:t>η</a:t>
          </a:r>
          <a:r>
            <a:rPr lang="en-US" sz="1200" b="1" i="0" u="none" strike="noStrike" baseline="0">
              <a:solidFill>
                <a:srgbClr val="000000"/>
              </a:solidFill>
              <a:latin typeface="Arial"/>
              <a:cs typeface="Arial"/>
            </a:rPr>
            <a:t>th = (Qin - Qout) / Qin = (Wout - Win) / Qin</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a:t>
          </a:r>
          <a:r>
            <a:rPr lang="el-GR" sz="1200" b="1" i="0" u="none" strike="noStrike" baseline="0">
              <a:solidFill>
                <a:srgbClr val="000000"/>
              </a:solidFill>
              <a:latin typeface="Arial"/>
              <a:cs typeface="Arial"/>
            </a:rPr>
            <a:t>η</a:t>
          </a:r>
          <a:r>
            <a:rPr lang="en-US" sz="1200" b="1" i="0" u="none" strike="noStrike" baseline="0">
              <a:solidFill>
                <a:srgbClr val="000000"/>
              </a:solidFill>
              <a:latin typeface="Arial"/>
              <a:cs typeface="Arial"/>
            </a:rPr>
            <a:t>th = (T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The ideal thermal efficiency of the Otto cycle is given by: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r>
            <a:rPr lang="el-GR" sz="1200" b="1" i="0" u="none" strike="noStrike" baseline="0">
              <a:solidFill>
                <a:srgbClr val="000000"/>
              </a:solidFill>
              <a:latin typeface="Arial"/>
              <a:cs typeface="Arial"/>
            </a:rPr>
            <a:t>η</a:t>
          </a:r>
          <a:r>
            <a:rPr lang="en-US" sz="1200" b="1" i="0" u="none" strike="noStrike" baseline="0">
              <a:solidFill>
                <a:srgbClr val="000000"/>
              </a:solidFill>
              <a:latin typeface="Arial"/>
              <a:cs typeface="Arial"/>
            </a:rPr>
            <a:t>th = 1 - rV^1-k</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Ratio of specific heats of air and other gas at constant volume:  </a:t>
          </a: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k = cVa / cVo</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Since air is the only gas in the cycle: </a:t>
          </a:r>
          <a:r>
            <a:rPr lang="en-US" sz="1200" b="1" i="0" u="none" strike="noStrike" baseline="0">
              <a:solidFill>
                <a:srgbClr val="000000"/>
              </a:solidFill>
              <a:latin typeface="Arial"/>
              <a:cs typeface="Arial"/>
            </a:rPr>
            <a:t> k = c</a:t>
          </a:r>
          <a:r>
            <a:rPr lang="en-US" sz="1200" b="1" i="0" u="none" strike="noStrike" baseline="-25000">
              <a:solidFill>
                <a:srgbClr val="000000"/>
              </a:solidFill>
              <a:latin typeface="Arial"/>
              <a:cs typeface="Arial"/>
            </a:rPr>
            <a:t>V</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Compression ratio:</a:t>
          </a:r>
          <a:r>
            <a:rPr lang="en-US" sz="1200" b="1" i="0" u="none" strike="noStrike" baseline="0">
              <a:solidFill>
                <a:srgbClr val="000000"/>
              </a:solidFill>
              <a:latin typeface="Arial"/>
              <a:cs typeface="Arial"/>
            </a:rPr>
            <a:t> R</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 = Vmax / Vmin = V</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V</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 V</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V</a:t>
          </a:r>
          <a:r>
            <a:rPr lang="en-US" sz="1200" b="1" i="0" u="none" strike="noStrike" baseline="-25000">
              <a:solidFill>
                <a:srgbClr val="000000"/>
              </a:solidFill>
              <a:latin typeface="Arial"/>
              <a:cs typeface="Arial"/>
            </a:rPr>
            <a:t>C</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704850</xdr:colOff>
      <xdr:row>169</xdr:row>
      <xdr:rowOff>161925</xdr:rowOff>
    </xdr:from>
    <xdr:to>
      <xdr:col>4</xdr:col>
      <xdr:colOff>114300</xdr:colOff>
      <xdr:row>190</xdr:row>
      <xdr:rowOff>47625</xdr:rowOff>
    </xdr:to>
    <xdr:pic>
      <xdr:nvPicPr>
        <xdr:cNvPr id="32945" name="Picture 81" descr="Otto  Cycle Indicator  Drawing">
          <a:extLst>
            <a:ext uri="{FF2B5EF4-FFF2-40B4-BE49-F238E27FC236}">
              <a16:creationId xmlns:a16="http://schemas.microsoft.com/office/drawing/2014/main" id="{E82B4BB6-B6D8-68E4-8EF2-2B064A6B0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 y="32880300"/>
          <a:ext cx="437197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178</xdr:row>
      <xdr:rowOff>76200</xdr:rowOff>
    </xdr:from>
    <xdr:to>
      <xdr:col>6</xdr:col>
      <xdr:colOff>1924050</xdr:colOff>
      <xdr:row>185</xdr:row>
      <xdr:rowOff>0</xdr:rowOff>
    </xdr:to>
    <xdr:sp macro="" textlink="">
      <xdr:nvSpPr>
        <xdr:cNvPr id="3154" name="Text Box 82">
          <a:extLst>
            <a:ext uri="{FF2B5EF4-FFF2-40B4-BE49-F238E27FC236}">
              <a16:creationId xmlns:a16="http://schemas.microsoft.com/office/drawing/2014/main" id="{CA4EE0AF-0215-D1BB-7B8E-252E5F70A957}"/>
            </a:ext>
          </a:extLst>
        </xdr:cNvPr>
        <xdr:cNvSpPr txBox="1">
          <a:spLocks noChangeArrowheads="1"/>
        </xdr:cNvSpPr>
      </xdr:nvSpPr>
      <xdr:spPr bwMode="auto">
        <a:xfrm>
          <a:off x="5829300" y="34518600"/>
          <a:ext cx="2714625" cy="12573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Plan Formula</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performance of an Otto Cycle engine can be calculated from the PLAN equation.</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685800</xdr:colOff>
      <xdr:row>192</xdr:row>
      <xdr:rowOff>104775</xdr:rowOff>
    </xdr:from>
    <xdr:to>
      <xdr:col>3</xdr:col>
      <xdr:colOff>47818</xdr:colOff>
      <xdr:row>205</xdr:row>
      <xdr:rowOff>142875</xdr:rowOff>
    </xdr:to>
    <xdr:pic>
      <xdr:nvPicPr>
        <xdr:cNvPr id="32947" name="Picture 85" descr="Prony Brake">
          <a:extLst>
            <a:ext uri="{FF2B5EF4-FFF2-40B4-BE49-F238E27FC236}">
              <a16:creationId xmlns:a16="http://schemas.microsoft.com/office/drawing/2014/main" id="{125F79B1-70F2-42EE-6BDF-2536DC961E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4925" y="37214175"/>
          <a:ext cx="3553018"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790575</xdr:colOff>
      <xdr:row>206</xdr:row>
      <xdr:rowOff>184151</xdr:rowOff>
    </xdr:from>
    <xdr:to>
      <xdr:col>4</xdr:col>
      <xdr:colOff>44450</xdr:colOff>
      <xdr:row>226</xdr:row>
      <xdr:rowOff>184151</xdr:rowOff>
    </xdr:to>
    <xdr:sp macro="" textlink="">
      <xdr:nvSpPr>
        <xdr:cNvPr id="3158" name="Text Box 86">
          <a:extLst>
            <a:ext uri="{FF2B5EF4-FFF2-40B4-BE49-F238E27FC236}">
              <a16:creationId xmlns:a16="http://schemas.microsoft.com/office/drawing/2014/main" id="{1BCBC934-CC8C-2C11-9EB8-7315D7CCFFBD}"/>
            </a:ext>
          </a:extLst>
        </xdr:cNvPr>
        <xdr:cNvSpPr txBox="1">
          <a:spLocks noChangeArrowheads="1"/>
        </xdr:cNvSpPr>
      </xdr:nvSpPr>
      <xdr:spPr bwMode="auto">
        <a:xfrm>
          <a:off x="1438275" y="40862251"/>
          <a:ext cx="4448175" cy="39370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1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Prony Brake</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maximum brake horse power that an engine can develop at any speed can be measured with a Prony brake or dynamometer.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Progressively higher loads "W" are applied until stalling occurs.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Torque is equal to W measured by the spring balance x B foot pounds.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Standard conditions for power testing of most commercial engines are:</a:t>
          </a:r>
        </a:p>
        <a:p>
          <a:pPr algn="l" rtl="0">
            <a:defRPr sz="1000"/>
          </a:pPr>
          <a:r>
            <a:rPr lang="en-US" sz="1200" b="0" i="0" u="none" strike="noStrike" baseline="0">
              <a:solidFill>
                <a:srgbClr val="000000"/>
              </a:solidFill>
              <a:latin typeface="Arial"/>
              <a:cs typeface="Arial"/>
            </a:rPr>
            <a:t>   500 ft altitude.</a:t>
          </a:r>
        </a:p>
        <a:p>
          <a:pPr algn="l" rtl="0">
            <a:defRPr sz="1000"/>
          </a:pPr>
          <a:r>
            <a:rPr lang="en-US" sz="1200" b="0" i="0" u="none" strike="noStrike" baseline="0">
              <a:solidFill>
                <a:srgbClr val="000000"/>
              </a:solidFill>
              <a:latin typeface="Arial"/>
              <a:cs typeface="Arial"/>
            </a:rPr>
            <a:t>   29.00 inches of mercury dry barometric pressure.</a:t>
          </a:r>
        </a:p>
        <a:p>
          <a:pPr algn="l" rtl="0">
            <a:defRPr sz="1000"/>
          </a:pPr>
          <a:r>
            <a:rPr lang="en-US" sz="1200" b="0" i="0" u="none" strike="noStrike" baseline="0">
              <a:solidFill>
                <a:srgbClr val="000000"/>
              </a:solidFill>
              <a:latin typeface="Arial"/>
              <a:cs typeface="Arial"/>
            </a:rPr>
            <a:t>   0.38 inches of mercury water vapor pressure.</a:t>
          </a:r>
        </a:p>
        <a:p>
          <a:pPr algn="l" rtl="0">
            <a:defRPr sz="1000"/>
          </a:pPr>
          <a:r>
            <a:rPr lang="en-US" sz="1200" b="0" i="0" u="none" strike="noStrike" baseline="0">
              <a:solidFill>
                <a:srgbClr val="000000"/>
              </a:solidFill>
              <a:latin typeface="Arial"/>
              <a:cs typeface="Arial"/>
            </a:rPr>
            <a:t>   85 degrees F.</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Both, "Continuous duty rating" and maximum "Intermittent rating" are measured.</a:t>
          </a:r>
        </a:p>
      </xdr:txBody>
    </xdr:sp>
    <xdr:clientData/>
  </xdr:twoCellAnchor>
  <xdr:twoCellAnchor>
    <xdr:from>
      <xdr:col>1</xdr:col>
      <xdr:colOff>409575</xdr:colOff>
      <xdr:row>5</xdr:row>
      <xdr:rowOff>38099</xdr:rowOff>
    </xdr:from>
    <xdr:to>
      <xdr:col>4</xdr:col>
      <xdr:colOff>123825</xdr:colOff>
      <xdr:row>44</xdr:row>
      <xdr:rowOff>142874</xdr:rowOff>
    </xdr:to>
    <xdr:sp macro="" textlink="">
      <xdr:nvSpPr>
        <xdr:cNvPr id="3159" name="Text Box 87">
          <a:extLst>
            <a:ext uri="{FF2B5EF4-FFF2-40B4-BE49-F238E27FC236}">
              <a16:creationId xmlns:a16="http://schemas.microsoft.com/office/drawing/2014/main" id="{620C79ED-5BA3-D77D-C409-32DE8AB8A49F}"/>
            </a:ext>
          </a:extLst>
        </xdr:cNvPr>
        <xdr:cNvSpPr txBox="1">
          <a:spLocks noChangeArrowheads="1"/>
        </xdr:cNvSpPr>
      </xdr:nvSpPr>
      <xdr:spPr bwMode="auto">
        <a:xfrm>
          <a:off x="1028700" y="1066799"/>
          <a:ext cx="4676775" cy="75342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8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Air Standard Otto Cycle</a:t>
          </a:r>
        </a:p>
        <a:p>
          <a:pPr algn="ctr" rtl="0">
            <a:defRPr sz="1000"/>
          </a:pPr>
          <a:endParaRPr lang="en-US" sz="14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The air standard Otto cycle is ideal but not practical. This power cycle has the highest theoretical efficiency and is used to determine and also compare efficiencies of practical gasoline engines.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Most gasoline powered automobile engines have compression ratios of, 8:1 to 8.5:1 designed to run on unleaded gasoline.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Emissions from gasoline engines include: nitrogen oxides, unburned hydrocarbons </a:t>
          </a:r>
        </a:p>
        <a:p>
          <a:pPr algn="l" rtl="0">
            <a:defRPr sz="1000"/>
          </a:pPr>
          <a:r>
            <a:rPr lang="en-US" sz="1200" b="1" i="0" u="none" strike="noStrike" baseline="0">
              <a:solidFill>
                <a:srgbClr val="000000"/>
              </a:solidFill>
              <a:latin typeface="Arial"/>
              <a:cs typeface="Arial"/>
            </a:rPr>
            <a:t>( polycyclic aromatic hydrocarbons), and carbon monoxide as do diesel engines.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Pressure, volume, and temperature for the isentropic and constant volume ideal gas processes can be evaluated using air tables or the ideal gas equations.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Ideal gas equation:     P</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P</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Because the piston travel is fixed the temperature ratios are equal:</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A </a:t>
          </a:r>
          <a:r>
            <a:rPr lang="en-US" sz="1200" b="1" i="0" u="none" strike="noStrike" baseline="0">
              <a:solidFill>
                <a:srgbClr val="000000"/>
              </a:solidFill>
              <a:latin typeface="Arial"/>
              <a:cs typeface="Arial"/>
            </a:rPr>
            <a:t>/ T</a:t>
          </a:r>
          <a:r>
            <a:rPr lang="en-US" sz="1200" b="1"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Isothermal compression.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Win =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a:t>
          </a:r>
          <a:r>
            <a:rPr lang="en-US" sz="1200" b="1" i="0" u="none" strike="noStrike" baseline="-25000">
              <a:solidFill>
                <a:srgbClr val="000000"/>
              </a:solidFill>
              <a:latin typeface="Arial"/>
              <a:cs typeface="Arial"/>
            </a:rPr>
            <a:t>TB</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(p</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 p</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(K - 1)</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to C:  Isentropic compression.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Qin = I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I     (positive value)</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to D:  Isothermal expansion power stroke.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Wout = I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I = I (p</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p</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v</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(K - 1) I     (positive values)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to A:  Isentropic expansion.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Qout = I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I</a:t>
          </a:r>
        </a:p>
      </xdr:txBody>
    </xdr:sp>
    <xdr:clientData/>
  </xdr:twoCellAnchor>
  <xdr:twoCellAnchor>
    <xdr:from>
      <xdr:col>1</xdr:col>
      <xdr:colOff>365125</xdr:colOff>
      <xdr:row>78</xdr:row>
      <xdr:rowOff>152400</xdr:rowOff>
    </xdr:from>
    <xdr:to>
      <xdr:col>4</xdr:col>
      <xdr:colOff>187327</xdr:colOff>
      <xdr:row>107</xdr:row>
      <xdr:rowOff>146050</xdr:rowOff>
    </xdr:to>
    <xdr:sp macro="" textlink="">
      <xdr:nvSpPr>
        <xdr:cNvPr id="3160" name="Text Box 88">
          <a:extLst>
            <a:ext uri="{FF2B5EF4-FFF2-40B4-BE49-F238E27FC236}">
              <a16:creationId xmlns:a16="http://schemas.microsoft.com/office/drawing/2014/main" id="{B34949FD-3A29-F9C5-3614-52AC60C22FF2}"/>
            </a:ext>
          </a:extLst>
        </xdr:cNvPr>
        <xdr:cNvSpPr txBox="1">
          <a:spLocks noChangeArrowheads="1"/>
        </xdr:cNvSpPr>
      </xdr:nvSpPr>
      <xdr:spPr bwMode="auto">
        <a:xfrm>
          <a:off x="1012825" y="15563850"/>
          <a:ext cx="5016502" cy="57023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Specific Heat Ratio for Air</a:t>
          </a:r>
        </a:p>
        <a:p>
          <a:pPr algn="l" rtl="0">
            <a:defRPr sz="1000"/>
          </a:pPr>
          <a:endParaRPr lang="en-US" sz="11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at constant volume,    Cv = 0.717 kj/kg deg C</a:t>
          </a:r>
        </a:p>
        <a:p>
          <a:pPr algn="l" rtl="0">
            <a:defRPr sz="1000"/>
          </a:pPr>
          <a:r>
            <a:rPr lang="en-US" sz="1200" b="1" i="0" u="none" strike="noStrike" baseline="0">
              <a:solidFill>
                <a:srgbClr val="000000"/>
              </a:solidFill>
              <a:latin typeface="Arial"/>
              <a:cs typeface="Arial"/>
            </a:rPr>
            <a:t>                                                         Cv = 0.171 Btu/lbm deg R</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at constant pressure,  Cp = 1.00 kj/kg deg C</a:t>
          </a:r>
        </a:p>
        <a:p>
          <a:pPr algn="l" rtl="0">
            <a:defRPr sz="1000"/>
          </a:pPr>
          <a:r>
            <a:rPr lang="en-US" sz="1200" b="1" i="0" u="none" strike="noStrike" baseline="0">
              <a:solidFill>
                <a:srgbClr val="000000"/>
              </a:solidFill>
              <a:latin typeface="Arial"/>
              <a:cs typeface="Arial"/>
            </a:rPr>
            <a:t>                                                         Cp = 0.24 Btu/lbm deg R</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Specific heat ratio for air,  k = Cp/Cv = 1.4</a:t>
          </a:r>
        </a:p>
        <a:p>
          <a:pPr algn="l" rtl="0">
            <a:defRPr sz="1000"/>
          </a:pP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Air Standard Otto Cycle Example</a:t>
          </a:r>
          <a:endParaRPr lang="en-US" sz="1400" b="0" i="0" u="none" strike="noStrike" baseline="0">
            <a:solidFill>
              <a:srgbClr val="000000"/>
            </a:solidFill>
            <a:latin typeface="Arial"/>
            <a:cs typeface="Arial"/>
          </a:endParaRPr>
        </a:p>
        <a:p>
          <a:pPr algn="l" rtl="0">
            <a:defRPr sz="1000"/>
          </a:pPr>
          <a:endParaRPr lang="en-US" sz="16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An Otto cycle spark-ignition engine is proposed to have a compression ratio of 10 while operating a low temperature of 200 deg C and a pressure of 200 kPa.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If the work output is to be 1000 kj/kg, calculate the maximum possible practical thermal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Determine also the Carnot cycle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Find the Mean Effective Pressure (MEP).</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Answers:</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60.2%</a:t>
          </a:r>
        </a:p>
        <a:p>
          <a:pPr algn="l" rtl="0">
            <a:defRPr sz="1000"/>
          </a:pPr>
          <a:r>
            <a:rPr lang="en-US" sz="1200" b="0" i="0" u="none" strike="noStrike" baseline="0">
              <a:solidFill>
                <a:srgbClr val="000000"/>
              </a:solidFill>
              <a:latin typeface="Arial"/>
              <a:cs typeface="Arial"/>
            </a:rPr>
            <a:t>b. 86.5%</a:t>
          </a:r>
        </a:p>
        <a:p>
          <a:pPr algn="l" rtl="0">
            <a:defRPr sz="1000"/>
          </a:pPr>
          <a:r>
            <a:rPr lang="en-US" sz="1200" b="0" i="0" u="none" strike="noStrike" baseline="0">
              <a:solidFill>
                <a:srgbClr val="000000"/>
              </a:solidFill>
              <a:latin typeface="Arial"/>
              <a:cs typeface="Arial"/>
            </a:rPr>
            <a:t>c. 1640 kPa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a:t>
          </a:r>
          <a:r>
            <a:rPr lang="en-US" sz="1200" b="1" i="0" u="none" strike="noStrike" baseline="0">
              <a:solidFill>
                <a:srgbClr val="FF0000"/>
              </a:solidFill>
              <a:latin typeface="Arial"/>
              <a:cs typeface="Arial"/>
            </a:rPr>
            <a:t> Calculation</a:t>
          </a:r>
          <a:r>
            <a:rPr lang="en-US" sz="1200" b="0" i="0" u="none" strike="noStrike" baseline="0">
              <a:solidFill>
                <a:srgbClr val="000000"/>
              </a:solidFill>
              <a:latin typeface="Arial"/>
              <a:cs typeface="Arial"/>
            </a:rPr>
            <a:t> below to solve this and similar problems.</a:t>
          </a:r>
        </a:p>
      </xdr:txBody>
    </xdr:sp>
    <xdr:clientData/>
  </xdr:twoCellAnchor>
  <xdr:twoCellAnchor editAs="oneCell">
    <xdr:from>
      <xdr:col>1</xdr:col>
      <xdr:colOff>254138</xdr:colOff>
      <xdr:row>108</xdr:row>
      <xdr:rowOff>120650</xdr:rowOff>
    </xdr:from>
    <xdr:to>
      <xdr:col>4</xdr:col>
      <xdr:colOff>673960</xdr:colOff>
      <xdr:row>122</xdr:row>
      <xdr:rowOff>114300</xdr:rowOff>
    </xdr:to>
    <xdr:pic>
      <xdr:nvPicPr>
        <xdr:cNvPr id="32951" name="Picture 90" descr="Air Standard Otto Cycle-1">
          <a:extLst>
            <a:ext uri="{FF2B5EF4-FFF2-40B4-BE49-F238E27FC236}">
              <a16:creationId xmlns:a16="http://schemas.microsoft.com/office/drawing/2014/main" id="{4FEF4BC1-89B9-917F-73A5-779BA2DF60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1838" y="21437600"/>
          <a:ext cx="5614122" cy="274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387350</xdr:colOff>
      <xdr:row>2</xdr:row>
      <xdr:rowOff>12701</xdr:rowOff>
    </xdr:from>
    <xdr:to>
      <xdr:col>3</xdr:col>
      <xdr:colOff>552450</xdr:colOff>
      <xdr:row>15</xdr:row>
      <xdr:rowOff>155588</xdr:rowOff>
    </xdr:to>
    <xdr:sp macro="" textlink="">
      <xdr:nvSpPr>
        <xdr:cNvPr id="4097" name="Text Box 1">
          <a:extLst>
            <a:ext uri="{FF2B5EF4-FFF2-40B4-BE49-F238E27FC236}">
              <a16:creationId xmlns:a16="http://schemas.microsoft.com/office/drawing/2014/main" id="{8E4DAD2C-BC60-AE7F-840D-94AAFE8123A2}"/>
            </a:ext>
          </a:extLst>
        </xdr:cNvPr>
        <xdr:cNvSpPr txBox="1">
          <a:spLocks noChangeArrowheads="1"/>
        </xdr:cNvSpPr>
      </xdr:nvSpPr>
      <xdr:spPr bwMode="auto">
        <a:xfrm>
          <a:off x="914400" y="463551"/>
          <a:ext cx="5226050" cy="2701937"/>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Air Standard Diesel Cycle</a:t>
          </a:r>
        </a:p>
        <a:p>
          <a:pPr algn="ctr"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The piston in the cylinder of a diesel engine compresses the air above ignition temperature without the</a:t>
          </a:r>
          <a:r>
            <a:rPr lang="en-US" sz="1200" b="1" i="0" u="sng" strike="noStrike" baseline="0">
              <a:solidFill>
                <a:srgbClr val="000000"/>
              </a:solidFill>
              <a:latin typeface="Arial"/>
              <a:cs typeface="Arial"/>
            </a:rPr>
            <a:t> </a:t>
          </a:r>
          <a:r>
            <a:rPr lang="en-US" sz="1200" b="1" i="0" u="none" strike="noStrike" baseline="0">
              <a:solidFill>
                <a:srgbClr val="000000"/>
              </a:solidFill>
              <a:latin typeface="Arial"/>
              <a:cs typeface="Arial"/>
            </a:rPr>
            <a:t>need for a spark.</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Most Diesel powered automobile engines have compression ratios of, 13.5 to 17.5:1 designed to run on No.6 heavy fuel oil, natural gas, and light distillate fuel oils.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Emissions from diesel engines include: nitrogen oxides, unburned hydrocarbons </a:t>
          </a:r>
        </a:p>
        <a:p>
          <a:pPr algn="l" rtl="0">
            <a:defRPr sz="1000"/>
          </a:pPr>
          <a:r>
            <a:rPr lang="en-US" sz="1200" b="0" i="0" u="none" strike="noStrike" baseline="0">
              <a:solidFill>
                <a:srgbClr val="000000"/>
              </a:solidFill>
              <a:latin typeface="Arial"/>
              <a:cs typeface="Arial"/>
            </a:rPr>
            <a:t>( polycyclic aromatic hydrocarbons), and carbon monoxide as do gasoline engines.</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234951</xdr:colOff>
      <xdr:row>28</xdr:row>
      <xdr:rowOff>22225</xdr:rowOff>
    </xdr:from>
    <xdr:to>
      <xdr:col>3</xdr:col>
      <xdr:colOff>107951</xdr:colOff>
      <xdr:row>102</xdr:row>
      <xdr:rowOff>104775</xdr:rowOff>
    </xdr:to>
    <xdr:sp macro="" textlink="">
      <xdr:nvSpPr>
        <xdr:cNvPr id="4099" name="Text Box 3">
          <a:extLst>
            <a:ext uri="{FF2B5EF4-FFF2-40B4-BE49-F238E27FC236}">
              <a16:creationId xmlns:a16="http://schemas.microsoft.com/office/drawing/2014/main" id="{1A01AF0A-800D-7BE8-AB21-7091844F9989}"/>
            </a:ext>
          </a:extLst>
        </xdr:cNvPr>
        <xdr:cNvSpPr txBox="1">
          <a:spLocks noChangeArrowheads="1"/>
        </xdr:cNvSpPr>
      </xdr:nvSpPr>
      <xdr:spPr bwMode="auto">
        <a:xfrm>
          <a:off x="762001" y="5591175"/>
          <a:ext cx="4933950" cy="14649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Air Standard Diesel Cycle</a:t>
          </a: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air standard diesel cycle is ideal but not practical. This power cycle has the highest theoretical efficiency and is used to compare efficiencies of practical diesel engines.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 to B:  Isentropic compression.</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Win = cv(TB - TA)</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B to C:  Constant pressure heating.</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Qin = c</a:t>
          </a:r>
          <a:r>
            <a:rPr lang="en-US" sz="1200" b="1" i="0" u="none" strike="noStrike" baseline="-25000">
              <a:solidFill>
                <a:srgbClr val="000000"/>
              </a:solidFill>
              <a:latin typeface="Arial"/>
              <a:cs typeface="Arial"/>
            </a:rPr>
            <a:t>p</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 to D:  Isentropic expansion,</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Win = I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(C</a:t>
          </a:r>
          <a:r>
            <a:rPr lang="en-US" sz="1200" b="1" i="0" u="none" strike="noStrike" baseline="-25000">
              <a:solidFill>
                <a:srgbClr val="000000"/>
              </a:solidFill>
              <a:latin typeface="Arial"/>
              <a:cs typeface="Arial"/>
            </a:rPr>
            <a:t>P</a:t>
          </a:r>
          <a:r>
            <a:rPr lang="en-US" sz="1200" b="1" i="0" u="none" strike="noStrike" baseline="0">
              <a:solidFill>
                <a:srgbClr val="000000"/>
              </a:solidFill>
              <a:latin typeface="Arial"/>
              <a:cs typeface="Arial"/>
            </a:rPr>
            <a:t> -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C</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B</a:t>
          </a:r>
          <a:r>
            <a:rPr lang="en-US" sz="1200" b="1" i="0" u="none" strike="noStrike" baseline="0">
              <a:solidFill>
                <a:srgbClr val="000000"/>
              </a:solidFill>
              <a:latin typeface="Arial"/>
              <a:cs typeface="Arial"/>
            </a:rPr>
            <a:t>) I    (positive values)</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 to A:  Constant volume cooling.</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Qout = I c</a:t>
          </a:r>
          <a:r>
            <a:rPr lang="en-US" sz="1200" b="1" i="0" u="none" strike="noStrike" baseline="-25000">
              <a:solidFill>
                <a:srgbClr val="000000"/>
              </a:solidFill>
              <a:latin typeface="Arial"/>
              <a:cs typeface="Arial"/>
            </a:rPr>
            <a:t>v</a:t>
          </a:r>
          <a:r>
            <a:rPr lang="en-US" sz="1200" b="1" i="0" u="none" strike="noStrike" baseline="0">
              <a:solidFill>
                <a:srgbClr val="000000"/>
              </a:solidFill>
              <a:latin typeface="Arial"/>
              <a:cs typeface="Arial"/>
            </a:rPr>
            <a:t>(T</a:t>
          </a:r>
          <a:r>
            <a:rPr lang="en-US" sz="1200" b="1" i="0" u="none" strike="noStrike" baseline="-25000">
              <a:solidFill>
                <a:srgbClr val="000000"/>
              </a:solidFill>
              <a:latin typeface="Arial"/>
              <a:cs typeface="Arial"/>
            </a:rPr>
            <a:t>A</a:t>
          </a:r>
          <a:r>
            <a:rPr lang="en-US" sz="1200" b="1" i="0" u="none" strike="noStrike" baseline="0">
              <a:solidFill>
                <a:srgbClr val="000000"/>
              </a:solidFill>
              <a:latin typeface="Arial"/>
              <a:cs typeface="Arial"/>
            </a:rPr>
            <a:t> - T</a:t>
          </a:r>
          <a:r>
            <a:rPr lang="en-US" sz="1200" b="1" i="0" u="none" strike="noStrike" baseline="-25000">
              <a:solidFill>
                <a:srgbClr val="000000"/>
              </a:solidFill>
              <a:latin typeface="Arial"/>
              <a:cs typeface="Arial"/>
            </a:rPr>
            <a:t>D</a:t>
          </a:r>
          <a:r>
            <a:rPr lang="en-US" sz="1200" b="1" i="0" u="none" strike="noStrike" baseline="0">
              <a:solidFill>
                <a:srgbClr val="000000"/>
              </a:solidFill>
              <a:latin typeface="Arial"/>
              <a:cs typeface="Arial"/>
            </a:rPr>
            <a:t>) I    (positive values)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Diesel engines can be two-stroke or four stroke. The p-v and T-s diagrams are the same for both types. The difference is the number of power strokes.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Two stroke has one power stroke per revolution.</a:t>
          </a:r>
        </a:p>
        <a:p>
          <a:pPr algn="l" rtl="0">
            <a:defRPr sz="1000"/>
          </a:pPr>
          <a:r>
            <a:rPr lang="en-US" sz="1200" b="0" i="0" u="none" strike="noStrike" baseline="0">
              <a:solidFill>
                <a:srgbClr val="000000"/>
              </a:solidFill>
              <a:latin typeface="Arial"/>
              <a:cs typeface="Arial"/>
            </a:rPr>
            <a:t>Four stroke has one power stroke per two revolutions.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Compression ratio,  R</a:t>
          </a:r>
          <a:r>
            <a:rPr lang="en-US" sz="1200" b="0" i="0" u="none" strike="noStrike" baseline="-25000">
              <a:solidFill>
                <a:srgbClr val="000000"/>
              </a:solidFill>
              <a:latin typeface="Arial"/>
              <a:cs typeface="Arial"/>
            </a:rPr>
            <a:t>v</a:t>
          </a:r>
          <a:r>
            <a:rPr lang="en-US" sz="1200" b="0" i="0" u="none" strike="noStrike" baseline="0">
              <a:solidFill>
                <a:srgbClr val="000000"/>
              </a:solidFill>
              <a:latin typeface="Arial"/>
              <a:cs typeface="Arial"/>
            </a:rPr>
            <a:t> = V</a:t>
          </a:r>
          <a:r>
            <a:rPr lang="en-US" sz="1200" b="0" i="0" u="none" strike="noStrike" baseline="-25000">
              <a:solidFill>
                <a:srgbClr val="000000"/>
              </a:solidFill>
              <a:latin typeface="Arial"/>
              <a:cs typeface="Arial"/>
            </a:rPr>
            <a:t>A</a:t>
          </a:r>
          <a:r>
            <a:rPr lang="en-US" sz="1200" b="0" i="0" u="none" strike="noStrike" baseline="0">
              <a:solidFill>
                <a:srgbClr val="000000"/>
              </a:solidFill>
              <a:latin typeface="Arial"/>
              <a:cs typeface="Arial"/>
            </a:rPr>
            <a:t>/V</a:t>
          </a:r>
          <a:r>
            <a:rPr lang="en-US" sz="1200" b="0"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Cut-off volume = V</a:t>
          </a:r>
          <a:r>
            <a:rPr lang="en-US" sz="1200" b="0" i="0" u="none" strike="noStrike" baseline="-25000">
              <a:solidFill>
                <a:srgbClr val="000000"/>
              </a:solidFill>
              <a:latin typeface="Arial"/>
              <a:cs typeface="Arial"/>
            </a:rPr>
            <a:t>C</a:t>
          </a:r>
        </a:p>
        <a:p>
          <a:pPr algn="l" rtl="0">
            <a:defRPr sz="1000"/>
          </a:pPr>
          <a:endParaRPr lang="en-US" sz="1200" b="0" i="0" u="none" strike="noStrike" baseline="-2500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Cut-off ratio, Rc = V</a:t>
          </a:r>
          <a:r>
            <a:rPr lang="en-US" sz="1200" b="0" i="0" u="none" strike="noStrike" baseline="-25000">
              <a:solidFill>
                <a:srgbClr val="000000"/>
              </a:solidFill>
              <a:latin typeface="Arial"/>
              <a:cs typeface="Arial"/>
            </a:rPr>
            <a:t>C</a:t>
          </a:r>
          <a:r>
            <a:rPr lang="en-US" sz="1200" b="0" i="0" u="none" strike="noStrike" baseline="0">
              <a:solidFill>
                <a:srgbClr val="000000"/>
              </a:solidFill>
              <a:latin typeface="Arial"/>
              <a:cs typeface="Arial"/>
            </a:rPr>
            <a:t>/V</a:t>
          </a:r>
          <a:r>
            <a:rPr lang="en-US" sz="1200" b="0" i="0" u="none" strike="noStrike" baseline="-25000">
              <a:solidFill>
                <a:srgbClr val="000000"/>
              </a:solidFill>
              <a:latin typeface="Arial"/>
              <a:cs typeface="Arial"/>
            </a:rPr>
            <a:t>B</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C</a:t>
          </a:r>
          <a:r>
            <a:rPr lang="en-US" sz="1200" b="0" i="0" u="none" strike="noStrike" baseline="0">
              <a:solidFill>
                <a:srgbClr val="000000"/>
              </a:solidFill>
              <a:latin typeface="Arial"/>
              <a:cs typeface="Arial"/>
            </a:rPr>
            <a:t>/T</a:t>
          </a:r>
          <a:r>
            <a:rPr lang="en-US" sz="1200" b="0"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Pressure, volume, and temperature at each point in a cycle can be calculated from the deal gas equations.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Ideal gas equation:     P</a:t>
          </a:r>
          <a:r>
            <a:rPr lang="en-US" sz="1200" b="0" i="0" u="none" strike="noStrike" baseline="-25000">
              <a:solidFill>
                <a:srgbClr val="000000"/>
              </a:solidFill>
              <a:latin typeface="Arial"/>
              <a:cs typeface="Arial"/>
            </a:rPr>
            <a:t>A</a:t>
          </a:r>
          <a:r>
            <a:rPr lang="en-US" sz="1200" b="0" i="0" u="none" strike="noStrike" baseline="0">
              <a:solidFill>
                <a:srgbClr val="000000"/>
              </a:solidFill>
              <a:latin typeface="Arial"/>
              <a:cs typeface="Arial"/>
            </a:rPr>
            <a:t>V</a:t>
          </a:r>
          <a:r>
            <a:rPr lang="en-US" sz="1200" b="0" i="0" u="none" strike="noStrike" baseline="-25000">
              <a:solidFill>
                <a:srgbClr val="000000"/>
              </a:solidFill>
              <a:latin typeface="Arial"/>
              <a:cs typeface="Arial"/>
            </a:rPr>
            <a:t>A</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A</a:t>
          </a:r>
          <a:r>
            <a:rPr lang="en-US" sz="1200" b="0" i="0" u="none" strike="noStrike" baseline="0">
              <a:solidFill>
                <a:srgbClr val="000000"/>
              </a:solidFill>
              <a:latin typeface="Arial"/>
              <a:cs typeface="Arial"/>
            </a:rPr>
            <a:t> = P</a:t>
          </a:r>
          <a:r>
            <a:rPr lang="en-US" sz="1200" b="0" i="0" u="none" strike="noStrike" baseline="-25000">
              <a:solidFill>
                <a:srgbClr val="000000"/>
              </a:solidFill>
              <a:latin typeface="Arial"/>
              <a:cs typeface="Arial"/>
            </a:rPr>
            <a:t>B</a:t>
          </a:r>
          <a:r>
            <a:rPr lang="en-US" sz="1200" b="0" i="0" u="none" strike="noStrike" baseline="0">
              <a:solidFill>
                <a:srgbClr val="000000"/>
              </a:solidFill>
              <a:latin typeface="Arial"/>
              <a:cs typeface="Arial"/>
            </a:rPr>
            <a:t>V</a:t>
          </a:r>
          <a:r>
            <a:rPr lang="en-US" sz="1200" b="0" i="0" u="none" strike="noStrike" baseline="-25000">
              <a:solidFill>
                <a:srgbClr val="000000"/>
              </a:solidFill>
              <a:latin typeface="Arial"/>
              <a:cs typeface="Arial"/>
            </a:rPr>
            <a:t>B</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Because the piston travel is fixed the temperature ratios are equal:</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T</a:t>
          </a:r>
          <a:r>
            <a:rPr lang="en-US" sz="1200" b="0" i="0" u="none" strike="noStrike" baseline="-25000">
              <a:solidFill>
                <a:srgbClr val="000000"/>
              </a:solidFill>
              <a:latin typeface="Arial"/>
              <a:cs typeface="Arial"/>
            </a:rPr>
            <a:t>D</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C</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A </a:t>
          </a:r>
          <a:r>
            <a:rPr lang="en-US" sz="1200" b="0" i="0" u="none" strike="noStrike" baseline="0">
              <a:solidFill>
                <a:srgbClr val="000000"/>
              </a:solidFill>
              <a:latin typeface="Arial"/>
              <a:cs typeface="Arial"/>
            </a:rPr>
            <a:t>/ T</a:t>
          </a:r>
          <a:r>
            <a:rPr lang="en-US" sz="1200" b="0" i="0" u="none" strike="noStrike" baseline="-25000">
              <a:solidFill>
                <a:srgbClr val="000000"/>
              </a:solidFill>
              <a:latin typeface="Arial"/>
              <a:cs typeface="Arial"/>
            </a:rPr>
            <a:t>B</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Pressure, volume, and temperature for the isentropic and constant volume ideal gas processes can be evaluated using air tables or the ideal gas equations.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Thermal efficiency of the diesel cycle can be found from:</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η</a:t>
          </a:r>
          <a:r>
            <a:rPr lang="en-US" sz="1200" b="0" i="0" u="none" strike="noStrike" baseline="-25000">
              <a:solidFill>
                <a:srgbClr val="000000"/>
              </a:solidFill>
              <a:latin typeface="Arial"/>
              <a:cs typeface="Arial"/>
            </a:rPr>
            <a:t>th</a:t>
          </a:r>
          <a:r>
            <a:rPr lang="en-US" sz="1200" b="0" i="0" u="none" strike="noStrike" baseline="0">
              <a:solidFill>
                <a:srgbClr val="000000"/>
              </a:solidFill>
              <a:latin typeface="Arial"/>
              <a:cs typeface="Arial"/>
            </a:rPr>
            <a:t> = (Qin - Qout) / Qin = (Wout - Win) / Qin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η</a:t>
          </a:r>
          <a:r>
            <a:rPr lang="en-US" sz="1200" b="0" i="0" u="none" strike="noStrike" baseline="-25000">
              <a:solidFill>
                <a:srgbClr val="000000"/>
              </a:solidFill>
              <a:latin typeface="Arial"/>
              <a:cs typeface="Arial"/>
            </a:rPr>
            <a:t>th</a:t>
          </a:r>
          <a:r>
            <a:rPr lang="en-US" sz="1200" b="0" i="0" u="none" strike="noStrike" baseline="0">
              <a:solidFill>
                <a:srgbClr val="000000"/>
              </a:solidFill>
              <a:latin typeface="Arial"/>
              <a:cs typeface="Arial"/>
            </a:rPr>
            <a:t> = 1 - (T</a:t>
          </a:r>
          <a:r>
            <a:rPr lang="en-US" sz="1200" b="0" i="0" u="none" strike="noStrike" baseline="-25000">
              <a:solidFill>
                <a:srgbClr val="000000"/>
              </a:solidFill>
              <a:latin typeface="Arial"/>
              <a:cs typeface="Arial"/>
            </a:rPr>
            <a:t>D</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A</a:t>
          </a:r>
          <a:r>
            <a:rPr lang="en-US" sz="1200" b="0" i="0" u="none" strike="noStrike" baseline="0">
              <a:solidFill>
                <a:srgbClr val="000000"/>
              </a:solidFill>
              <a:latin typeface="Arial"/>
              <a:cs typeface="Arial"/>
            </a:rPr>
            <a:t>) / (k(T</a:t>
          </a:r>
          <a:r>
            <a:rPr lang="en-US" sz="1200" b="0" i="0" u="none" strike="noStrike" baseline="-25000">
              <a:solidFill>
                <a:srgbClr val="000000"/>
              </a:solidFill>
              <a:latin typeface="Arial"/>
              <a:cs typeface="Arial"/>
            </a:rPr>
            <a:t>C</a:t>
          </a:r>
          <a:r>
            <a:rPr lang="en-US" sz="1200" b="0" i="0" u="none" strike="noStrike" baseline="0">
              <a:solidFill>
                <a:srgbClr val="000000"/>
              </a:solidFill>
              <a:latin typeface="Arial"/>
              <a:cs typeface="Arial"/>
            </a:rPr>
            <a:t> - T</a:t>
          </a:r>
          <a:r>
            <a:rPr lang="en-US" sz="1200" b="0" i="0" u="none" strike="noStrike" baseline="-25000">
              <a:solidFill>
                <a:srgbClr val="000000"/>
              </a:solidFill>
              <a:latin typeface="Arial"/>
              <a:cs typeface="Arial"/>
            </a:rPr>
            <a:t>B</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1" i="0" u="sng" strike="noStrike" baseline="0">
              <a:solidFill>
                <a:srgbClr val="000000"/>
              </a:solidFill>
              <a:latin typeface="Arial"/>
              <a:cs typeface="Arial"/>
            </a:rPr>
            <a:t>Modern diesel engine thermal efficiencies range from: 45% to 50%. </a:t>
          </a:r>
        </a:p>
        <a:p>
          <a:pPr algn="l" rtl="0">
            <a:defRPr sz="1000"/>
          </a:pPr>
          <a:endParaRPr lang="en-US" sz="1200" b="1" i="0" u="sng" strike="noStrike" baseline="0">
            <a:solidFill>
              <a:srgbClr val="000000"/>
            </a:solidFill>
            <a:latin typeface="Arial"/>
            <a:cs typeface="Arial"/>
          </a:endParaRPr>
        </a:p>
        <a:p>
          <a:pPr algn="l" rtl="0">
            <a:defRPr sz="1000"/>
          </a:pPr>
          <a:r>
            <a:rPr lang="en-US" sz="1200" b="1" i="0" u="sng" strike="noStrike" baseline="0">
              <a:solidFill>
                <a:srgbClr val="000000"/>
              </a:solidFill>
              <a:latin typeface="Arial"/>
              <a:cs typeface="Arial"/>
            </a:rPr>
            <a:t>This the highest thermal efficiency of all steam and combustion engines including turbines.</a:t>
          </a:r>
        </a:p>
        <a:p>
          <a:pPr algn="l" rtl="0">
            <a:defRPr sz="1000"/>
          </a:pPr>
          <a:endParaRPr lang="en-US" sz="1200" b="1" i="0" u="sng" strike="noStrike" baseline="0">
            <a:solidFill>
              <a:srgbClr val="000000"/>
            </a:solidFill>
            <a:latin typeface="Arial"/>
            <a:cs typeface="Arial"/>
          </a:endParaRPr>
        </a:p>
        <a:p>
          <a:pPr algn="l" rtl="0">
            <a:defRPr sz="1000"/>
          </a:pPr>
          <a:endParaRPr lang="en-US" sz="1200" b="1" i="0" u="sng"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Diesel Cycle Example:</a:t>
          </a:r>
          <a:r>
            <a:rPr lang="en-US" sz="1200" b="0" i="0" u="none" strike="noStrike" baseline="0">
              <a:solidFill>
                <a:srgbClr val="000000"/>
              </a:solidFill>
              <a:latin typeface="Arial"/>
              <a:cs typeface="Arial"/>
            </a:rPr>
            <a:t> </a:t>
          </a:r>
        </a:p>
        <a:p>
          <a:pPr algn="l" rtl="0">
            <a:defRPr sz="1000"/>
          </a:pPr>
          <a:r>
            <a:rPr lang="en-US" sz="1200" b="0" i="0" u="none" strike="noStrike" baseline="0">
              <a:solidFill>
                <a:srgbClr val="000000"/>
              </a:solidFill>
              <a:latin typeface="Arial"/>
              <a:cs typeface="Arial"/>
            </a:rPr>
            <a:t>A diesel cycle with a compression ratio of 18 operates on air.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low pressure is 200 kPa and low temperature 200 deg 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work output is 1000 kJ/kg.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Determine the diesel cycle thermal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Calculate the Mean Effective Pressure MEP.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Find the Otto cycle efficiency operating at the same maximum pressure.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Answers:</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Diesel cycle thermal efficiency, 62.9 %</a:t>
          </a:r>
        </a:p>
        <a:p>
          <a:pPr algn="l" rtl="0">
            <a:defRPr sz="1000"/>
          </a:pPr>
          <a:r>
            <a:rPr lang="en-US" sz="1200" b="0" i="0" u="none" strike="noStrike" baseline="0">
              <a:solidFill>
                <a:srgbClr val="000000"/>
              </a:solidFill>
              <a:latin typeface="Arial"/>
              <a:cs typeface="Arial"/>
            </a:rPr>
            <a:t>b. MEP = 641 kPa</a:t>
          </a:r>
        </a:p>
        <a:p>
          <a:pPr algn="l" rtl="0">
            <a:defRPr sz="1000"/>
          </a:pPr>
          <a:r>
            <a:rPr lang="en-US" sz="1200" b="0" i="0" u="none" strike="noStrike" baseline="0">
              <a:solidFill>
                <a:srgbClr val="000000"/>
              </a:solidFill>
              <a:latin typeface="Arial"/>
              <a:cs typeface="Arial"/>
            </a:rPr>
            <a:t>c. Otto cycle efficiency = 58.1%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example below is locked.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Please use the </a:t>
          </a:r>
          <a:r>
            <a:rPr lang="en-US" sz="1200" b="1" i="0" u="none" strike="noStrike" baseline="0">
              <a:solidFill>
                <a:srgbClr val="000000"/>
              </a:solidFill>
              <a:latin typeface="Arial"/>
              <a:cs typeface="Arial"/>
            </a:rPr>
            <a:t>"Problem"</a:t>
          </a:r>
          <a:r>
            <a:rPr lang="en-US" sz="1200" b="0" i="0" u="none" strike="noStrike" baseline="0">
              <a:solidFill>
                <a:srgbClr val="000000"/>
              </a:solidFill>
              <a:latin typeface="Arial"/>
              <a:cs typeface="Arial"/>
            </a:rPr>
            <a:t> below to solve this and similar problems.</a:t>
          </a:r>
        </a:p>
      </xdr:txBody>
    </xdr:sp>
    <xdr:clientData/>
  </xdr:twoCellAnchor>
  <xdr:twoCellAnchor editAs="oneCell">
    <xdr:from>
      <xdr:col>1</xdr:col>
      <xdr:colOff>717550</xdr:colOff>
      <xdr:row>16</xdr:row>
      <xdr:rowOff>31750</xdr:rowOff>
    </xdr:from>
    <xdr:to>
      <xdr:col>2</xdr:col>
      <xdr:colOff>1013753</xdr:colOff>
      <xdr:row>27</xdr:row>
      <xdr:rowOff>142875</xdr:rowOff>
    </xdr:to>
    <xdr:pic>
      <xdr:nvPicPr>
        <xdr:cNvPr id="33893" name="Picture 5" descr="Air Standard Diesel Engine">
          <a:extLst>
            <a:ext uri="{FF2B5EF4-FFF2-40B4-BE49-F238E27FC236}">
              <a16:creationId xmlns:a16="http://schemas.microsoft.com/office/drawing/2014/main" id="{591D3797-0C88-F73F-1975-0A668B5BF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600" y="3238500"/>
          <a:ext cx="4169703"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41275</xdr:colOff>
      <xdr:row>102</xdr:row>
      <xdr:rowOff>193675</xdr:rowOff>
    </xdr:from>
    <xdr:to>
      <xdr:col>3</xdr:col>
      <xdr:colOff>557495</xdr:colOff>
      <xdr:row>118</xdr:row>
      <xdr:rowOff>117475</xdr:rowOff>
    </xdr:to>
    <xdr:pic>
      <xdr:nvPicPr>
        <xdr:cNvPr id="33894" name="Picture 7" descr="DIESEL CYCLE-2">
          <a:extLst>
            <a:ext uri="{FF2B5EF4-FFF2-40B4-BE49-F238E27FC236}">
              <a16:creationId xmlns:a16="http://schemas.microsoft.com/office/drawing/2014/main" id="{537DE006-2254-0A0D-8387-9C8E7A025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325" y="20329525"/>
          <a:ext cx="5577170" cy="307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364</xdr:row>
      <xdr:rowOff>66675</xdr:rowOff>
    </xdr:from>
    <xdr:to>
      <xdr:col>3</xdr:col>
      <xdr:colOff>152400</xdr:colOff>
      <xdr:row>378</xdr:row>
      <xdr:rowOff>28575</xdr:rowOff>
    </xdr:to>
    <xdr:pic>
      <xdr:nvPicPr>
        <xdr:cNvPr id="33895" name="Picture 8" descr="DIESEL CYCLE-2">
          <a:extLst>
            <a:ext uri="{FF2B5EF4-FFF2-40B4-BE49-F238E27FC236}">
              <a16:creationId xmlns:a16="http://schemas.microsoft.com/office/drawing/2014/main" id="{729DE634-1DC2-1172-492D-969FA78ECB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62817375"/>
          <a:ext cx="4695825"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223</xdr:row>
      <xdr:rowOff>47625</xdr:rowOff>
    </xdr:from>
    <xdr:to>
      <xdr:col>5</xdr:col>
      <xdr:colOff>295286</xdr:colOff>
      <xdr:row>243</xdr:row>
      <xdr:rowOff>95250</xdr:rowOff>
    </xdr:to>
    <xdr:sp macro="" textlink="">
      <xdr:nvSpPr>
        <xdr:cNvPr id="4109" name="Text Box 13">
          <a:extLst>
            <a:ext uri="{FF2B5EF4-FFF2-40B4-BE49-F238E27FC236}">
              <a16:creationId xmlns:a16="http://schemas.microsoft.com/office/drawing/2014/main" id="{E99F5892-B783-51C8-72D5-B12B7070563A}"/>
            </a:ext>
          </a:extLst>
        </xdr:cNvPr>
        <xdr:cNvSpPr txBox="1">
          <a:spLocks noChangeArrowheads="1"/>
        </xdr:cNvSpPr>
      </xdr:nvSpPr>
      <xdr:spPr bwMode="auto">
        <a:xfrm>
          <a:off x="457200" y="39109650"/>
          <a:ext cx="5276850" cy="32861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Diesel Cycle Problem</a:t>
          </a:r>
        </a:p>
        <a:p>
          <a:pPr algn="ctr"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diesel cycle with a compression ratio of 18 operates on air.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low pressure is 200 kPa and low temperature 200 deg 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work output is 1000 kJ/kg.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Determine the diesel cycle thermal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Calculate the Mean Effective Pressure MEP.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Find the Otto cycle efficiency operating at the same maximum pressure.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Answers:</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62.9 %</a:t>
          </a:r>
        </a:p>
        <a:p>
          <a:pPr algn="l" rtl="0">
            <a:defRPr sz="1000"/>
          </a:pPr>
          <a:r>
            <a:rPr lang="en-US" sz="1200" b="0" i="0" u="none" strike="noStrike" baseline="0">
              <a:solidFill>
                <a:srgbClr val="000000"/>
              </a:solidFill>
              <a:latin typeface="Arial"/>
              <a:cs typeface="Arial"/>
            </a:rPr>
            <a:t>b. MEP = 641 kPa</a:t>
          </a:r>
        </a:p>
        <a:p>
          <a:pPr algn="l" rtl="0">
            <a:defRPr sz="1000"/>
          </a:pPr>
          <a:r>
            <a:rPr lang="en-US" sz="1200" b="0" i="0" u="none" strike="noStrike" baseline="0">
              <a:solidFill>
                <a:srgbClr val="000000"/>
              </a:solidFill>
              <a:latin typeface="Arial"/>
              <a:cs typeface="Arial"/>
            </a:rPr>
            <a:t>c. Otto cycle efficiency = 58.1%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a:t>
          </a:r>
        </a:p>
      </xdr:txBody>
    </xdr:sp>
    <xdr:clientData/>
  </xdr:twoCellAnchor>
  <xdr:twoCellAnchor editAs="oneCell">
    <xdr:from>
      <xdr:col>1</xdr:col>
      <xdr:colOff>533400</xdr:colOff>
      <xdr:row>245</xdr:row>
      <xdr:rowOff>114300</xdr:rowOff>
    </xdr:from>
    <xdr:to>
      <xdr:col>4</xdr:col>
      <xdr:colOff>379303</xdr:colOff>
      <xdr:row>261</xdr:row>
      <xdr:rowOff>44450</xdr:rowOff>
    </xdr:to>
    <xdr:pic>
      <xdr:nvPicPr>
        <xdr:cNvPr id="33898" name="Picture 14" descr="DIESEL CYCLE-2">
          <a:extLst>
            <a:ext uri="{FF2B5EF4-FFF2-40B4-BE49-F238E27FC236}">
              <a16:creationId xmlns:a16="http://schemas.microsoft.com/office/drawing/2014/main" id="{E0692CA4-2143-FEE4-4C2C-0386A5372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450" y="48418750"/>
          <a:ext cx="5592653" cy="307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393700</xdr:colOff>
      <xdr:row>191</xdr:row>
      <xdr:rowOff>53975</xdr:rowOff>
    </xdr:from>
    <xdr:to>
      <xdr:col>6</xdr:col>
      <xdr:colOff>1937050</xdr:colOff>
      <xdr:row>198</xdr:row>
      <xdr:rowOff>187542</xdr:rowOff>
    </xdr:to>
    <xdr:pic>
      <xdr:nvPicPr>
        <xdr:cNvPr id="2" name="Picture 1">
          <a:extLst>
            <a:ext uri="{FF2B5EF4-FFF2-40B4-BE49-F238E27FC236}">
              <a16:creationId xmlns:a16="http://schemas.microsoft.com/office/drawing/2014/main" id="{7A9DE4BD-9D68-2480-DF85-3B1A19CB927A}"/>
            </a:ext>
          </a:extLst>
        </xdr:cNvPr>
        <xdr:cNvPicPr>
          <a:picLocks noChangeAspect="1"/>
        </xdr:cNvPicPr>
      </xdr:nvPicPr>
      <xdr:blipFill>
        <a:blip xmlns:r="http://schemas.openxmlformats.org/officeDocument/2006/relationships" r:embed="rId3"/>
        <a:stretch>
          <a:fillRect/>
        </a:stretch>
      </xdr:blipFill>
      <xdr:spPr>
        <a:xfrm>
          <a:off x="7308850" y="37811075"/>
          <a:ext cx="2184700" cy="1517867"/>
        </a:xfrm>
        <a:prstGeom prst="rect">
          <a:avLst/>
        </a:prstGeom>
      </xdr:spPr>
    </xdr:pic>
    <xdr:clientData/>
  </xdr:twoCellAnchor>
  <xdr:twoCellAnchor editAs="oneCell">
    <xdr:from>
      <xdr:col>4</xdr:col>
      <xdr:colOff>635000</xdr:colOff>
      <xdr:row>329</xdr:row>
      <xdr:rowOff>82550</xdr:rowOff>
    </xdr:from>
    <xdr:to>
      <xdr:col>6</xdr:col>
      <xdr:colOff>1473309</xdr:colOff>
      <xdr:row>337</xdr:row>
      <xdr:rowOff>88981</xdr:rowOff>
    </xdr:to>
    <xdr:pic>
      <xdr:nvPicPr>
        <xdr:cNvPr id="3" name="Picture 2">
          <a:extLst>
            <a:ext uri="{FF2B5EF4-FFF2-40B4-BE49-F238E27FC236}">
              <a16:creationId xmlns:a16="http://schemas.microsoft.com/office/drawing/2014/main" id="{D5391E4F-57FF-807E-1993-879F0671A3B8}"/>
            </a:ext>
          </a:extLst>
        </xdr:cNvPr>
        <xdr:cNvPicPr>
          <a:picLocks noChangeAspect="1"/>
        </xdr:cNvPicPr>
      </xdr:nvPicPr>
      <xdr:blipFill>
        <a:blip xmlns:r="http://schemas.openxmlformats.org/officeDocument/2006/relationships" r:embed="rId4"/>
        <a:stretch>
          <a:fillRect/>
        </a:stretch>
      </xdr:blipFill>
      <xdr:spPr>
        <a:xfrm>
          <a:off x="6908800" y="65157350"/>
          <a:ext cx="2121009" cy="15812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644524</xdr:colOff>
      <xdr:row>26</xdr:row>
      <xdr:rowOff>41274</xdr:rowOff>
    </xdr:from>
    <xdr:to>
      <xdr:col>3</xdr:col>
      <xdr:colOff>138401</xdr:colOff>
      <xdr:row>36</xdr:row>
      <xdr:rowOff>107949</xdr:rowOff>
    </xdr:to>
    <xdr:pic>
      <xdr:nvPicPr>
        <xdr:cNvPr id="29428" name="Picture 3" descr="Gas Turbine-1">
          <a:extLst>
            <a:ext uri="{FF2B5EF4-FFF2-40B4-BE49-F238E27FC236}">
              <a16:creationId xmlns:a16="http://schemas.microsoft.com/office/drawing/2014/main" id="{B9252995-9828-1765-45C6-EB0B924A4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4424" y="5216524"/>
          <a:ext cx="4516727"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339724</xdr:colOff>
      <xdr:row>65</xdr:row>
      <xdr:rowOff>168275</xdr:rowOff>
    </xdr:from>
    <xdr:to>
      <xdr:col>3</xdr:col>
      <xdr:colOff>106503</xdr:colOff>
      <xdr:row>80</xdr:row>
      <xdr:rowOff>120650</xdr:rowOff>
    </xdr:to>
    <xdr:pic>
      <xdr:nvPicPr>
        <xdr:cNvPr id="29429" name="Picture 4" descr="Brayton Gas Turbine Cycle">
          <a:extLst>
            <a:ext uri="{FF2B5EF4-FFF2-40B4-BE49-F238E27FC236}">
              <a16:creationId xmlns:a16="http://schemas.microsoft.com/office/drawing/2014/main" id="{73B427B5-C18E-555E-9362-A8904797D5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4" y="13020675"/>
          <a:ext cx="4789629"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412751</xdr:colOff>
      <xdr:row>37</xdr:row>
      <xdr:rowOff>3175</xdr:rowOff>
    </xdr:from>
    <xdr:to>
      <xdr:col>3</xdr:col>
      <xdr:colOff>546101</xdr:colOff>
      <xdr:row>64</xdr:row>
      <xdr:rowOff>98425</xdr:rowOff>
    </xdr:to>
    <xdr:sp macro="" textlink="">
      <xdr:nvSpPr>
        <xdr:cNvPr id="5125" name="Text Box 5">
          <a:extLst>
            <a:ext uri="{FF2B5EF4-FFF2-40B4-BE49-F238E27FC236}">
              <a16:creationId xmlns:a16="http://schemas.microsoft.com/office/drawing/2014/main" id="{70507244-BE44-F9A0-4263-FBB111602E87}"/>
            </a:ext>
          </a:extLst>
        </xdr:cNvPr>
        <xdr:cNvSpPr txBox="1">
          <a:spLocks noChangeArrowheads="1"/>
        </xdr:cNvSpPr>
      </xdr:nvSpPr>
      <xdr:spPr bwMode="auto">
        <a:xfrm>
          <a:off x="882651" y="7343775"/>
          <a:ext cx="4705350" cy="54102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Brayton Gas Turbine Cycle</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 to B:  Isentropic compression in compressor.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Wcompressor = cP(TB - TA) = hB - hA</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to C:  Constant pressure heat addition in combustor.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Qin = cP(TC - TB) = hB - hA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 to D:  Isentropic expansion is turbine.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Wturbine = I cP(TD - TC) I = I hD - hC I    (positive values)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to A:  Constant pressure cooling.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Qout = I cP(TA - TD) I = I hA - hD I    (positive values)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Gas Turbine Thermal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(Qin - Qout) / Qin = (Wturbine - Wcompressor) / Qin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((hC - hB) - (hD - hA)) / (hC - hB)</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Efficiency if ideal gas so that cP is constant: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th = ((TC - TB) - (TD - TA)) / (TC - TB)</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558800</xdr:colOff>
      <xdr:row>82</xdr:row>
      <xdr:rowOff>117475</xdr:rowOff>
    </xdr:from>
    <xdr:to>
      <xdr:col>4</xdr:col>
      <xdr:colOff>215900</xdr:colOff>
      <xdr:row>101</xdr:row>
      <xdr:rowOff>152400</xdr:rowOff>
    </xdr:to>
    <xdr:sp macro="" textlink="">
      <xdr:nvSpPr>
        <xdr:cNvPr id="5126" name="Text Box 6">
          <a:extLst>
            <a:ext uri="{FF2B5EF4-FFF2-40B4-BE49-F238E27FC236}">
              <a16:creationId xmlns:a16="http://schemas.microsoft.com/office/drawing/2014/main" id="{104CEA22-4950-52D8-2D08-DACCF9A1C2ED}"/>
            </a:ext>
          </a:extLst>
        </xdr:cNvPr>
        <xdr:cNvSpPr txBox="1">
          <a:spLocks noChangeArrowheads="1"/>
        </xdr:cNvSpPr>
      </xdr:nvSpPr>
      <xdr:spPr bwMode="auto">
        <a:xfrm>
          <a:off x="1028700" y="16316325"/>
          <a:ext cx="5099050" cy="37750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lnSpc>
              <a:spcPts val="1300"/>
            </a:lnSpc>
            <a:defRPr sz="1000"/>
          </a:pPr>
          <a:endParaRPr lang="en-US" sz="1200" b="1" i="0" u="none" strike="noStrike" baseline="0">
            <a:solidFill>
              <a:srgbClr val="000000"/>
            </a:solidFill>
            <a:latin typeface="Arial"/>
            <a:cs typeface="Arial"/>
          </a:endParaRPr>
        </a:p>
        <a:p>
          <a:pPr algn="ctr" rtl="0">
            <a:lnSpc>
              <a:spcPts val="1300"/>
            </a:lnSpc>
            <a:defRPr sz="1000"/>
          </a:pPr>
          <a:r>
            <a:rPr lang="en-US" sz="1400" b="1" i="0" u="none" strike="noStrike" baseline="0">
              <a:solidFill>
                <a:srgbClr val="000000"/>
              </a:solidFill>
              <a:latin typeface="Arial"/>
              <a:cs typeface="Arial"/>
            </a:rPr>
            <a:t>Practical Combustion Turbines</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The practical isentropic efficiency is  less than 100% for both compressor and turbine.</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The measured temperatures or enthalpies must be used to calculate: work, heat, and thermal efficiency.</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              Actual enthalpy,  hBact = hA + (hB - hA) /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s, compressor)</a:t>
          </a:r>
        </a:p>
        <a:p>
          <a:pPr algn="l" rtl="0">
            <a:lnSpc>
              <a:spcPts val="1100"/>
            </a:lnSpc>
            <a:defRPr sz="1000"/>
          </a:pPr>
          <a:endParaRPr lang="en-US" sz="1200" b="0"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              Actual temperature,  TBact = TA + (TB - TA) /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s, compressor)</a:t>
          </a:r>
        </a:p>
        <a:p>
          <a:pPr algn="l" rtl="0">
            <a:lnSpc>
              <a:spcPts val="11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              Actual enthalpy,  hDact = hC -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s, turbine) (hC - hD) </a:t>
          </a:r>
        </a:p>
        <a:p>
          <a:pPr algn="l" rtl="0">
            <a:lnSpc>
              <a:spcPts val="11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0" i="0" u="none" strike="noStrike" baseline="0">
              <a:solidFill>
                <a:srgbClr val="000000"/>
              </a:solidFill>
              <a:latin typeface="Arial"/>
              <a:cs typeface="Arial"/>
            </a:rPr>
            <a:t>              Actual temperature,  TDact = TC - (</a:t>
          </a:r>
          <a:r>
            <a:rPr lang="el-GR" sz="1200" b="0" i="0" u="none" strike="noStrike" baseline="0">
              <a:solidFill>
                <a:srgbClr val="000000"/>
              </a:solidFill>
              <a:latin typeface="Arial"/>
              <a:cs typeface="Arial"/>
            </a:rPr>
            <a:t>η</a:t>
          </a:r>
          <a:r>
            <a:rPr lang="en-US" sz="1200" b="0" i="0" u="none" strike="noStrike" baseline="0">
              <a:solidFill>
                <a:srgbClr val="000000"/>
              </a:solidFill>
              <a:latin typeface="Arial"/>
              <a:cs typeface="Arial"/>
            </a:rPr>
            <a:t>s, turbine) (TC - TD) </a:t>
          </a:r>
        </a:p>
        <a:p>
          <a:pPr algn="l" rtl="0">
            <a:lnSpc>
              <a:spcPts val="1100"/>
            </a:lnSpc>
            <a:defRPr sz="1000"/>
          </a:pPr>
          <a:endParaRPr lang="en-US" sz="1200" b="0" i="0" u="none" strike="noStrike" baseline="0">
            <a:solidFill>
              <a:srgbClr val="000000"/>
            </a:solidFill>
            <a:latin typeface="Arial"/>
            <a:cs typeface="Arial"/>
          </a:endParaRPr>
        </a:p>
        <a:p>
          <a:pPr algn="l" rtl="0">
            <a:lnSpc>
              <a:spcPts val="1000"/>
            </a:lnSpc>
            <a:defRPr sz="1000"/>
          </a:pPr>
          <a:r>
            <a:rPr lang="en-US" sz="1200" b="1" i="0" u="none" strike="noStrike" baseline="0">
              <a:solidFill>
                <a:srgbClr val="000000"/>
              </a:solidFill>
              <a:latin typeface="Arial"/>
              <a:cs typeface="Arial"/>
            </a:rPr>
            <a:t>The full load thermal efficiency of heavy duty industrial combustion turbines is between 34% and 36%.</a:t>
          </a:r>
        </a:p>
        <a:p>
          <a:pPr algn="l" rtl="0">
            <a:lnSpc>
              <a:spcPts val="1100"/>
            </a:lnSpc>
            <a:defRPr sz="1000"/>
          </a:pPr>
          <a:endParaRPr lang="en-US" sz="1200" b="1" i="0" u="none" strike="noStrike" baseline="0">
            <a:solidFill>
              <a:srgbClr val="000000"/>
            </a:solidFill>
            <a:latin typeface="Arial"/>
            <a:cs typeface="Arial"/>
          </a:endParaRPr>
        </a:p>
        <a:p>
          <a:pPr algn="l" rtl="0">
            <a:lnSpc>
              <a:spcPts val="1100"/>
            </a:lnSpc>
            <a:defRPr sz="1000"/>
          </a:pPr>
          <a:r>
            <a:rPr lang="en-US" sz="1200" b="1" i="0" u="none" strike="noStrike" baseline="0">
              <a:solidFill>
                <a:srgbClr val="000000"/>
              </a:solidFill>
              <a:latin typeface="Arial"/>
              <a:cs typeface="Arial"/>
            </a:rPr>
            <a:t>New advanced gas turbines achieve 38% to 38.5% efficiencies.</a:t>
          </a:r>
        </a:p>
        <a:p>
          <a:pPr algn="l" rtl="0">
            <a:lnSpc>
              <a:spcPts val="1000"/>
            </a:lnSpc>
            <a:defRPr sz="1000"/>
          </a:pPr>
          <a:endParaRPr lang="en-US" sz="1200" b="1" i="0" u="none" strike="noStrike" baseline="0">
            <a:solidFill>
              <a:srgbClr val="000000"/>
            </a:solidFill>
            <a:latin typeface="Arial"/>
            <a:cs typeface="Arial"/>
          </a:endParaRPr>
        </a:p>
        <a:p>
          <a:pPr algn="l" rtl="0">
            <a:lnSpc>
              <a:spcPts val="1100"/>
            </a:lnSpc>
            <a:defRPr sz="1000"/>
          </a:pPr>
          <a:r>
            <a:rPr lang="en-US" sz="1200" b="1" i="0" u="none" strike="noStrike" baseline="0">
              <a:solidFill>
                <a:srgbClr val="000000"/>
              </a:solidFill>
              <a:latin typeface="Arial"/>
              <a:cs typeface="Arial"/>
            </a:rPr>
            <a:t>Aero-derivative turbines have up to 42% thermal efficiency.</a:t>
          </a:r>
        </a:p>
        <a:p>
          <a:pPr algn="l" rtl="0">
            <a:lnSpc>
              <a:spcPts val="1000"/>
            </a:lnSpc>
            <a:defRPr sz="1000"/>
          </a:pPr>
          <a:endParaRPr lang="en-US" sz="1200" b="1" i="0" u="none" strike="noStrike" baseline="0">
            <a:solidFill>
              <a:srgbClr val="000000"/>
            </a:solidFill>
            <a:latin typeface="Arial"/>
            <a:cs typeface="Arial"/>
          </a:endParaRPr>
        </a:p>
        <a:p>
          <a:pPr algn="l" rtl="0">
            <a:lnSpc>
              <a:spcPts val="1100"/>
            </a:lnSpc>
            <a:defRPr sz="1000"/>
          </a:pPr>
          <a:r>
            <a:rPr lang="en-US" sz="1200" b="0" i="0" u="none" strike="noStrike" baseline="0">
              <a:solidFill>
                <a:srgbClr val="000000"/>
              </a:solidFill>
              <a:latin typeface="Arial"/>
              <a:cs typeface="Arial"/>
            </a:rPr>
            <a:t>Back Work Ratio = Compressor work / Turbine work = 50% to 75%.</a:t>
          </a:r>
        </a:p>
        <a:p>
          <a:pPr algn="l" rtl="0">
            <a:lnSpc>
              <a:spcPts val="1000"/>
            </a:lnSpc>
            <a:defRPr sz="1000"/>
          </a:pPr>
          <a:endParaRPr lang="en-US" sz="1200" b="0" i="0" u="none" strike="noStrike" baseline="0">
            <a:solidFill>
              <a:srgbClr val="000000"/>
            </a:solidFill>
            <a:latin typeface="Arial"/>
            <a:cs typeface="Arial"/>
          </a:endParaRPr>
        </a:p>
        <a:p>
          <a:pPr algn="l" rtl="0">
            <a:lnSpc>
              <a:spcPts val="1100"/>
            </a:lnSpc>
            <a:defRPr sz="1000"/>
          </a:pPr>
          <a:endParaRPr lang="en-US" sz="12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177799</xdr:colOff>
      <xdr:row>175</xdr:row>
      <xdr:rowOff>50800</xdr:rowOff>
    </xdr:from>
    <xdr:to>
      <xdr:col>3</xdr:col>
      <xdr:colOff>325670</xdr:colOff>
      <xdr:row>191</xdr:row>
      <xdr:rowOff>57150</xdr:rowOff>
    </xdr:to>
    <xdr:pic>
      <xdr:nvPicPr>
        <xdr:cNvPr id="29432" name="Picture 7" descr="Brayton Gas Turbine Cycle">
          <a:extLst>
            <a:ext uri="{FF2B5EF4-FFF2-40B4-BE49-F238E27FC236}">
              <a16:creationId xmlns:a16="http://schemas.microsoft.com/office/drawing/2014/main" id="{AD5CE139-802D-854B-7D05-FE6194A06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699" y="34626550"/>
          <a:ext cx="5170721" cy="315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159</xdr:row>
      <xdr:rowOff>57150</xdr:rowOff>
    </xdr:from>
    <xdr:to>
      <xdr:col>4</xdr:col>
      <xdr:colOff>333386</xdr:colOff>
      <xdr:row>173</xdr:row>
      <xdr:rowOff>104775</xdr:rowOff>
    </xdr:to>
    <xdr:sp macro="" textlink="">
      <xdr:nvSpPr>
        <xdr:cNvPr id="5172" name="Text Box 52">
          <a:extLst>
            <a:ext uri="{FF2B5EF4-FFF2-40B4-BE49-F238E27FC236}">
              <a16:creationId xmlns:a16="http://schemas.microsoft.com/office/drawing/2014/main" id="{99C33E63-F3BE-EE6D-6161-0E63E0F1447B}"/>
            </a:ext>
          </a:extLst>
        </xdr:cNvPr>
        <xdr:cNvSpPr txBox="1">
          <a:spLocks noChangeArrowheads="1"/>
        </xdr:cNvSpPr>
      </xdr:nvSpPr>
      <xdr:spPr bwMode="auto">
        <a:xfrm>
          <a:off x="419100" y="26012775"/>
          <a:ext cx="5105400" cy="23526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BRAYTON CYCLE GAS TURBINE IDEAL EFFICIENCY</a:t>
          </a:r>
          <a:endParaRPr lang="en-US" sz="105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Air enters a gas turbine at 14.7 psia and temperature is 545 deg 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pressure ratio is 4.5:1.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Conditions at turbine inlet are: 64 psia and temperature is 2200 deg 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turbines expansion ratio is 1:4 and exhaust is to atmosphere.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isentropic efficiency of the turbine is 85%.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What is the thermal efficiency  of the gas turbine cycle?</a:t>
          </a:r>
        </a:p>
      </xdr:txBody>
    </xdr:sp>
    <xdr:clientData/>
  </xdr:twoCellAnchor>
  <xdr:twoCellAnchor editAs="oneCell">
    <xdr:from>
      <xdr:col>1</xdr:col>
      <xdr:colOff>758825</xdr:colOff>
      <xdr:row>102</xdr:row>
      <xdr:rowOff>184150</xdr:rowOff>
    </xdr:from>
    <xdr:to>
      <xdr:col>3</xdr:col>
      <xdr:colOff>421790</xdr:colOff>
      <xdr:row>114</xdr:row>
      <xdr:rowOff>19050</xdr:rowOff>
    </xdr:to>
    <xdr:pic>
      <xdr:nvPicPr>
        <xdr:cNvPr id="29437" name="Picture 55" descr="Gas Turbine-1">
          <a:extLst>
            <a:ext uri="{FF2B5EF4-FFF2-40B4-BE49-F238E27FC236}">
              <a16:creationId xmlns:a16="http://schemas.microsoft.com/office/drawing/2014/main" id="{53CF6AA2-AB07-6AC0-90B9-B8F497A53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20320000"/>
          <a:ext cx="4685815" cy="219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1085851</xdr:colOff>
      <xdr:row>115</xdr:row>
      <xdr:rowOff>25401</xdr:rowOff>
    </xdr:from>
    <xdr:to>
      <xdr:col>3</xdr:col>
      <xdr:colOff>76201</xdr:colOff>
      <xdr:row>130</xdr:row>
      <xdr:rowOff>171451</xdr:rowOff>
    </xdr:to>
    <xdr:sp macro="" textlink="">
      <xdr:nvSpPr>
        <xdr:cNvPr id="5176" name="Text Box 56">
          <a:extLst>
            <a:ext uri="{FF2B5EF4-FFF2-40B4-BE49-F238E27FC236}">
              <a16:creationId xmlns:a16="http://schemas.microsoft.com/office/drawing/2014/main" id="{CAA8870A-484F-9C78-C2A8-A8519BB278BC}"/>
            </a:ext>
          </a:extLst>
        </xdr:cNvPr>
        <xdr:cNvSpPr txBox="1">
          <a:spLocks noChangeArrowheads="1"/>
        </xdr:cNvSpPr>
      </xdr:nvSpPr>
      <xdr:spPr bwMode="auto">
        <a:xfrm>
          <a:off x="1555751" y="22720301"/>
          <a:ext cx="3562350" cy="30988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EXAMPLE: GAS TURBINE IDEAL EFFICIENCY</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Air enters the compressor of a gas turbine at 100 kPa and temperature is </a:t>
          </a:r>
        </a:p>
        <a:p>
          <a:pPr algn="l" rtl="0">
            <a:defRPr sz="1000"/>
          </a:pPr>
          <a:r>
            <a:rPr lang="en-US" sz="1200" b="0" i="0" u="none" strike="noStrike" baseline="0">
              <a:solidFill>
                <a:srgbClr val="000000"/>
              </a:solidFill>
              <a:latin typeface="Arial"/>
              <a:cs typeface="Arial"/>
            </a:rPr>
            <a:t>25 deg 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exhaust to atmospressure pressure ratio is 5 and a maximum temperature of 850 deg C,</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determine the back work ratio and the thermal efficiency using the Brayton cycle.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Use the </a:t>
          </a:r>
          <a:r>
            <a:rPr lang="en-US" sz="1200" b="1" i="0" u="none" strike="noStrike" baseline="0">
              <a:solidFill>
                <a:srgbClr val="FF0000"/>
              </a:solidFill>
              <a:latin typeface="Arial"/>
              <a:cs typeface="Arial"/>
            </a:rPr>
            <a:t>Input</a:t>
          </a:r>
          <a:r>
            <a:rPr lang="en-US" sz="1200" b="0" i="0" u="none" strike="noStrike" baseline="0">
              <a:solidFill>
                <a:srgbClr val="000000"/>
              </a:solidFill>
              <a:latin typeface="Arial"/>
              <a:cs typeface="Arial"/>
            </a:rPr>
            <a:t> and </a:t>
          </a:r>
          <a:r>
            <a:rPr lang="en-US" sz="1200" b="1" i="0" u="none" strike="noStrike" baseline="0">
              <a:solidFill>
                <a:srgbClr val="FF0000"/>
              </a:solidFill>
              <a:latin typeface="Arial"/>
              <a:cs typeface="Arial"/>
            </a:rPr>
            <a:t>Calculation</a:t>
          </a:r>
          <a:r>
            <a:rPr lang="en-US" sz="1200" b="0" i="0" u="none" strike="noStrike" baseline="0">
              <a:solidFill>
                <a:srgbClr val="000000"/>
              </a:solidFill>
              <a:latin typeface="Arial"/>
              <a:cs typeface="Arial"/>
            </a:rPr>
            <a:t> below to solve this and similar problems.</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5</xdr:col>
      <xdr:colOff>784225</xdr:colOff>
      <xdr:row>175</xdr:row>
      <xdr:rowOff>120650</xdr:rowOff>
    </xdr:from>
    <xdr:to>
      <xdr:col>10</xdr:col>
      <xdr:colOff>190500</xdr:colOff>
      <xdr:row>194</xdr:row>
      <xdr:rowOff>57150</xdr:rowOff>
    </xdr:to>
    <xdr:sp macro="" textlink="">
      <xdr:nvSpPr>
        <xdr:cNvPr id="5177" name="Text Box 57">
          <a:extLst>
            <a:ext uri="{FF2B5EF4-FFF2-40B4-BE49-F238E27FC236}">
              <a16:creationId xmlns:a16="http://schemas.microsoft.com/office/drawing/2014/main" id="{712211F4-5B34-7539-F582-5CBEBED4A4FC}"/>
            </a:ext>
          </a:extLst>
        </xdr:cNvPr>
        <xdr:cNvSpPr txBox="1">
          <a:spLocks noChangeArrowheads="1"/>
        </xdr:cNvSpPr>
      </xdr:nvSpPr>
      <xdr:spPr bwMode="auto">
        <a:xfrm>
          <a:off x="7756525" y="34696400"/>
          <a:ext cx="5603875" cy="36766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Isentropic Process</a:t>
          </a:r>
        </a:p>
        <a:p>
          <a:pPr algn="ctr" rtl="0">
            <a:defRPr sz="1000"/>
          </a:pPr>
          <a:endParaRPr lang="en-US" sz="14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In thermodynamics, an isentropic process or isentropic process is one during which the entropy of the system remains constant.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It can be proved that any reversible adiabatic process is an isentropic process.</a:t>
          </a:r>
        </a:p>
        <a:p>
          <a:pPr algn="l" rtl="0">
            <a:defRPr sz="1000"/>
          </a:pPr>
          <a:endParaRPr lang="en-US" sz="1200" b="0"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Air Standard Carnot Cycle</a:t>
          </a:r>
          <a:endParaRPr lang="en-US" sz="14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t>
          </a:r>
          <a:r>
            <a:rPr lang="en-US" sz="1200" b="1" i="0" u="none" strike="noStrike" baseline="0">
              <a:solidFill>
                <a:srgbClr val="000000"/>
              </a:solidFill>
              <a:latin typeface="Arial"/>
              <a:cs typeface="Arial"/>
            </a:rPr>
            <a:t>Isentropic Pressure Ratio: </a:t>
          </a:r>
          <a:r>
            <a:rPr lang="en-US" sz="1200" b="0" i="0" u="none" strike="noStrike" baseline="0">
              <a:solidFill>
                <a:srgbClr val="000000"/>
              </a:solidFill>
              <a:latin typeface="Arial"/>
              <a:cs typeface="Arial"/>
            </a:rPr>
            <a:t>for the air standard Carnot cycle illustrated below is a ratio of </a:t>
          </a:r>
          <a:r>
            <a:rPr lang="en-US" sz="1200" b="1" i="0" u="none" strike="noStrike" baseline="0">
              <a:solidFill>
                <a:srgbClr val="000000"/>
              </a:solidFill>
              <a:latin typeface="Arial"/>
              <a:cs typeface="Arial"/>
            </a:rPr>
            <a:t>pressures</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Pr or rp,s = PB/PA = PC/PD = (TD/TC)^(1/(1-k))</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Isentropic Pressure Ratio: for reciprocating engines and compressors illustrated below is a ratio of volumes:</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                     Vr or rv,s = VA/VB = VD/VC = (TD/TC)^(1/(1-k))</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5</xdr:col>
      <xdr:colOff>406400</xdr:colOff>
      <xdr:row>161</xdr:row>
      <xdr:rowOff>34925</xdr:rowOff>
    </xdr:from>
    <xdr:to>
      <xdr:col>9</xdr:col>
      <xdr:colOff>469900</xdr:colOff>
      <xdr:row>174</xdr:row>
      <xdr:rowOff>158750</xdr:rowOff>
    </xdr:to>
    <xdr:pic>
      <xdr:nvPicPr>
        <xdr:cNvPr id="29440" name="Picture 58" descr="Air  Standard  Carnot  Cycle-1">
          <a:extLst>
            <a:ext uri="{FF2B5EF4-FFF2-40B4-BE49-F238E27FC236}">
              <a16:creationId xmlns:a16="http://schemas.microsoft.com/office/drawing/2014/main" id="{E9FFF8F4-0916-5083-9ABD-A1E80002FD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27850" y="31854775"/>
          <a:ext cx="5022850" cy="268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xdr:row>
      <xdr:rowOff>19050</xdr:rowOff>
    </xdr:from>
    <xdr:to>
      <xdr:col>3</xdr:col>
      <xdr:colOff>781050</xdr:colOff>
      <xdr:row>24</xdr:row>
      <xdr:rowOff>177800</xdr:rowOff>
    </xdr:to>
    <xdr:sp macro="" textlink="">
      <xdr:nvSpPr>
        <xdr:cNvPr id="3" name="TextBox 2">
          <a:extLst>
            <a:ext uri="{FF2B5EF4-FFF2-40B4-BE49-F238E27FC236}">
              <a16:creationId xmlns:a16="http://schemas.microsoft.com/office/drawing/2014/main" id="{335D2F9E-D34C-A397-2E09-FDB03DAB719D}"/>
            </a:ext>
          </a:extLst>
        </xdr:cNvPr>
        <xdr:cNvSpPr txBox="1"/>
      </xdr:nvSpPr>
      <xdr:spPr>
        <a:xfrm>
          <a:off x="603250" y="666750"/>
          <a:ext cx="5670550" cy="429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a:latin typeface="Arial" panose="020B0604020202020204" pitchFamily="34" charset="0"/>
            <a:cs typeface="Arial" panose="020B0604020202020204" pitchFamily="34" charset="0"/>
          </a:endParaRPr>
        </a:p>
        <a:p>
          <a:pPr algn="ctr"/>
          <a:r>
            <a:rPr lang="en-US" sz="1400" b="1">
              <a:latin typeface="Arial" panose="020B0604020202020204" pitchFamily="34" charset="0"/>
              <a:cs typeface="Arial" panose="020B0604020202020204" pitchFamily="34" charset="0"/>
            </a:rPr>
            <a:t>Working Principal</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"Fresh air enters the compressor at ambient temperature where its pressure and temperature are increased.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The high pressure air enters the combustion chamber where the fuel is burned at constant pressure.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The high temperature (and pressure) gas enters the turbine where it expands to ambient pressure and produces work" </a:t>
          </a:r>
          <a:r>
            <a:rPr lang="en-US" sz="1200" b="1">
              <a:latin typeface="Arial" panose="020B0604020202020204" pitchFamily="34" charset="0"/>
              <a:cs typeface="Arial" panose="020B0604020202020204" pitchFamily="34" charset="0"/>
            </a:rPr>
            <a:t>https://www.sfu.ca/~mbahrami/ENSC%20461/Notes/Brayton%20Cycle.pdf</a:t>
          </a:r>
        </a:p>
        <a:p>
          <a:endParaRPr lang="en-US" sz="1200" b="1">
            <a:latin typeface="Arial" panose="020B0604020202020204" pitchFamily="34" charset="0"/>
            <a:cs typeface="Arial" panose="020B0604020202020204" pitchFamily="34" charset="0"/>
          </a:endParaRPr>
        </a:p>
        <a:p>
          <a:pPr rtl="0"/>
          <a:r>
            <a:rPr lang="en-US" sz="1200" b="1" i="0" baseline="0">
              <a:solidFill>
                <a:schemeClr val="dk1"/>
              </a:solidFill>
              <a:effectLst/>
              <a:latin typeface="Arial" panose="020B0604020202020204" pitchFamily="34" charset="0"/>
              <a:ea typeface="+mn-ea"/>
              <a:cs typeface="Arial" panose="020B0604020202020204" pitchFamily="34" charset="0"/>
            </a:rPr>
            <a:t>The most common version at present has the fuel combusted in a gas turbine, which drives an alternator, and the gas turbine exhaust (typically still over 560°C) are then used to generate heat in an otherwise typical Rankin steam cycle. </a:t>
          </a:r>
        </a:p>
        <a:p>
          <a:pPr rtl="0"/>
          <a:endParaRPr lang="en-US" sz="1400" b="1">
            <a:effectLst/>
            <a:latin typeface="Arial" panose="020B0604020202020204" pitchFamily="34" charset="0"/>
            <a:cs typeface="Arial" panose="020B0604020202020204" pitchFamily="34" charset="0"/>
          </a:endParaRPr>
        </a:p>
        <a:p>
          <a:pPr rtl="0"/>
          <a:r>
            <a:rPr lang="en-US" sz="1200" b="0" i="0" baseline="0">
              <a:solidFill>
                <a:schemeClr val="dk1"/>
              </a:solidFill>
              <a:effectLst/>
              <a:latin typeface="Arial" panose="020B0604020202020204" pitchFamily="34" charset="0"/>
              <a:ea typeface="+mn-ea"/>
              <a:cs typeface="Arial" panose="020B0604020202020204" pitchFamily="34" charset="0"/>
            </a:rPr>
            <a:t>Western Power commissioned a 240 MW plant at Cockburn1 Power Station, with the gas turbine generating 160 MW and the steam system generating 80 MW.</a:t>
          </a:r>
          <a:endParaRPr lang="en-US" sz="1400">
            <a:effectLst/>
            <a:latin typeface="Arial" panose="020B0604020202020204" pitchFamily="34" charset="0"/>
            <a:cs typeface="Arial" panose="020B0604020202020204" pitchFamily="34" charset="0"/>
          </a:endParaRPr>
        </a:p>
        <a:p>
          <a:pPr rtl="0"/>
          <a:endParaRPr lang="en-US" sz="1200" b="1" i="0" baseline="0">
            <a:solidFill>
              <a:schemeClr val="dk1"/>
            </a:solidFill>
            <a:effectLst/>
            <a:latin typeface="Arial" panose="020B0604020202020204" pitchFamily="34" charset="0"/>
            <a:ea typeface="+mn-ea"/>
            <a:cs typeface="Arial" panose="020B0604020202020204" pitchFamily="34" charset="0"/>
          </a:endParaRPr>
        </a:p>
        <a:p>
          <a:pPr rtl="0"/>
          <a:r>
            <a:rPr lang="en-US" sz="1200" b="1" i="0" baseline="0">
              <a:solidFill>
                <a:schemeClr val="dk1"/>
              </a:solidFill>
              <a:effectLst/>
              <a:latin typeface="Arial" panose="020B0604020202020204" pitchFamily="34" charset="0"/>
              <a:ea typeface="+mn-ea"/>
              <a:cs typeface="Arial" panose="020B0604020202020204" pitchFamily="34" charset="0"/>
            </a:rPr>
            <a:t>The overall thermal efficiency exceeds 50%, compared to about 38% for a modern stand-alone steam plant.</a:t>
          </a:r>
          <a:endParaRPr lang="en-US" sz="14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95251</xdr:colOff>
      <xdr:row>10</xdr:row>
      <xdr:rowOff>101600</xdr:rowOff>
    </xdr:from>
    <xdr:to>
      <xdr:col>10</xdr:col>
      <xdr:colOff>1401376</xdr:colOff>
      <xdr:row>27</xdr:row>
      <xdr:rowOff>146050</xdr:rowOff>
    </xdr:to>
    <xdr:pic>
      <xdr:nvPicPr>
        <xdr:cNvPr id="2" name="Picture 1">
          <a:extLst>
            <a:ext uri="{FF2B5EF4-FFF2-40B4-BE49-F238E27FC236}">
              <a16:creationId xmlns:a16="http://schemas.microsoft.com/office/drawing/2014/main" id="{5021ABD6-AF33-4F1D-97E2-3EF7A3C92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40551" y="2165350"/>
          <a:ext cx="2525325" cy="3390900"/>
        </a:xfrm>
        <a:prstGeom prst="rect">
          <a:avLst/>
        </a:prstGeom>
      </xdr:spPr>
    </xdr:pic>
    <xdr:clientData/>
  </xdr:twoCellAnchor>
  <xdr:twoCellAnchor editAs="oneCell">
    <xdr:from>
      <xdr:col>1</xdr:col>
      <xdr:colOff>419100</xdr:colOff>
      <xdr:row>23</xdr:row>
      <xdr:rowOff>66675</xdr:rowOff>
    </xdr:from>
    <xdr:to>
      <xdr:col>2</xdr:col>
      <xdr:colOff>1035050</xdr:colOff>
      <xdr:row>31</xdr:row>
      <xdr:rowOff>139700</xdr:rowOff>
    </xdr:to>
    <xdr:pic>
      <xdr:nvPicPr>
        <xdr:cNvPr id="3" name="Picture 2">
          <a:extLst>
            <a:ext uri="{FF2B5EF4-FFF2-40B4-BE49-F238E27FC236}">
              <a16:creationId xmlns:a16="http://schemas.microsoft.com/office/drawing/2014/main" id="{B1BD51B3-A58A-4CE0-AC81-B7B21B9B86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0900" cy="1368425"/>
        </a:xfrm>
        <a:prstGeom prst="rect">
          <a:avLst/>
        </a:prstGeom>
      </xdr:spPr>
    </xdr:pic>
    <xdr:clientData/>
  </xdr:twoCellAnchor>
  <xdr:twoCellAnchor editAs="oneCell">
    <xdr:from>
      <xdr:col>3</xdr:col>
      <xdr:colOff>708025</xdr:colOff>
      <xdr:row>10</xdr:row>
      <xdr:rowOff>31750</xdr:rowOff>
    </xdr:from>
    <xdr:to>
      <xdr:col>7</xdr:col>
      <xdr:colOff>78963</xdr:colOff>
      <xdr:row>30</xdr:row>
      <xdr:rowOff>3175</xdr:rowOff>
    </xdr:to>
    <xdr:pic>
      <xdr:nvPicPr>
        <xdr:cNvPr id="4" name="Picture 3">
          <a:extLst>
            <a:ext uri="{FF2B5EF4-FFF2-40B4-BE49-F238E27FC236}">
              <a16:creationId xmlns:a16="http://schemas.microsoft.com/office/drawing/2014/main" id="{11196A61-BBD7-43D7-9228-EC61F8FB7B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7325" y="2095500"/>
          <a:ext cx="2317338" cy="3908425"/>
        </a:xfrm>
        <a:prstGeom prst="rect">
          <a:avLst/>
        </a:prstGeom>
      </xdr:spPr>
    </xdr:pic>
    <xdr:clientData/>
  </xdr:twoCellAnchor>
  <xdr:twoCellAnchor editAs="oneCell">
    <xdr:from>
      <xdr:col>4</xdr:col>
      <xdr:colOff>28575</xdr:colOff>
      <xdr:row>2</xdr:row>
      <xdr:rowOff>47626</xdr:rowOff>
    </xdr:from>
    <xdr:to>
      <xdr:col>5</xdr:col>
      <xdr:colOff>444500</xdr:colOff>
      <xdr:row>7</xdr:row>
      <xdr:rowOff>52897</xdr:rowOff>
    </xdr:to>
    <xdr:pic>
      <xdr:nvPicPr>
        <xdr:cNvPr id="5" name="Picture 4">
          <a:extLst>
            <a:ext uri="{FF2B5EF4-FFF2-40B4-BE49-F238E27FC236}">
              <a16:creationId xmlns:a16="http://schemas.microsoft.com/office/drawing/2014/main" id="{A880652F-84BB-47AD-9BB2-27B7EF953F4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71925" y="466726"/>
          <a:ext cx="1263650" cy="1040321"/>
        </a:xfrm>
        <a:prstGeom prst="rect">
          <a:avLst/>
        </a:prstGeom>
      </xdr:spPr>
    </xdr:pic>
    <xdr:clientData/>
  </xdr:twoCellAnchor>
  <xdr:twoCellAnchor editAs="oneCell">
    <xdr:from>
      <xdr:col>10</xdr:col>
      <xdr:colOff>685800</xdr:colOff>
      <xdr:row>30</xdr:row>
      <xdr:rowOff>190500</xdr:rowOff>
    </xdr:from>
    <xdr:to>
      <xdr:col>16</xdr:col>
      <xdr:colOff>570713</xdr:colOff>
      <xdr:row>56</xdr:row>
      <xdr:rowOff>53975</xdr:rowOff>
    </xdr:to>
    <xdr:pic>
      <xdr:nvPicPr>
        <xdr:cNvPr id="6" name="Picture 5">
          <a:extLst>
            <a:ext uri="{FF2B5EF4-FFF2-40B4-BE49-F238E27FC236}">
              <a16:creationId xmlns:a16="http://schemas.microsoft.com/office/drawing/2014/main" id="{7E37AE0C-D56B-47F1-8360-E8A9B2C2C3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62900" y="6134100"/>
          <a:ext cx="4371188" cy="4102100"/>
        </a:xfrm>
        <a:prstGeom prst="rect">
          <a:avLst/>
        </a:prstGeom>
      </xdr:spPr>
    </xdr:pic>
    <xdr:clientData/>
  </xdr:twoCellAnchor>
  <xdr:twoCellAnchor editAs="oneCell">
    <xdr:from>
      <xdr:col>1</xdr:col>
      <xdr:colOff>219075</xdr:colOff>
      <xdr:row>46</xdr:row>
      <xdr:rowOff>19050</xdr:rowOff>
    </xdr:from>
    <xdr:to>
      <xdr:col>2</xdr:col>
      <xdr:colOff>720725</xdr:colOff>
      <xdr:row>54</xdr:row>
      <xdr:rowOff>111125</xdr:rowOff>
    </xdr:to>
    <xdr:pic>
      <xdr:nvPicPr>
        <xdr:cNvPr id="7" name="Picture 6">
          <a:extLst>
            <a:ext uri="{FF2B5EF4-FFF2-40B4-BE49-F238E27FC236}">
              <a16:creationId xmlns:a16="http://schemas.microsoft.com/office/drawing/2014/main" id="{872764F0-B25D-4938-BA6D-98ECB4A574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2925" y="9210675"/>
          <a:ext cx="2006600" cy="1635125"/>
        </a:xfrm>
        <a:prstGeom prst="rect">
          <a:avLst/>
        </a:prstGeom>
      </xdr:spPr>
    </xdr:pic>
    <xdr:clientData/>
  </xdr:twoCellAnchor>
  <xdr:twoCellAnchor editAs="oneCell">
    <xdr:from>
      <xdr:col>3</xdr:col>
      <xdr:colOff>19050</xdr:colOff>
      <xdr:row>46</xdr:row>
      <xdr:rowOff>9525</xdr:rowOff>
    </xdr:from>
    <xdr:to>
      <xdr:col>6</xdr:col>
      <xdr:colOff>225425</xdr:colOff>
      <xdr:row>54</xdr:row>
      <xdr:rowOff>133350</xdr:rowOff>
    </xdr:to>
    <xdr:pic>
      <xdr:nvPicPr>
        <xdr:cNvPr id="8" name="Picture 7">
          <a:extLst>
            <a:ext uri="{FF2B5EF4-FFF2-40B4-BE49-F238E27FC236}">
              <a16:creationId xmlns:a16="http://schemas.microsoft.com/office/drawing/2014/main" id="{8DB0280D-CF5F-4172-9878-40DBB54238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62300" y="9201150"/>
          <a:ext cx="2463800" cy="1666875"/>
        </a:xfrm>
        <a:prstGeom prst="rect">
          <a:avLst/>
        </a:prstGeom>
      </xdr:spPr>
    </xdr:pic>
    <xdr:clientData/>
  </xdr:twoCellAnchor>
  <xdr:oneCellAnchor>
    <xdr:from>
      <xdr:col>1</xdr:col>
      <xdr:colOff>419100</xdr:colOff>
      <xdr:row>23</xdr:row>
      <xdr:rowOff>66675</xdr:rowOff>
    </xdr:from>
    <xdr:ext cx="2124075" cy="1371600"/>
    <xdr:pic>
      <xdr:nvPicPr>
        <xdr:cNvPr id="9" name="Picture 8">
          <a:extLst>
            <a:ext uri="{FF2B5EF4-FFF2-40B4-BE49-F238E27FC236}">
              <a16:creationId xmlns:a16="http://schemas.microsoft.com/office/drawing/2014/main" id="{1CA8509D-F8D5-4DEE-8349-40079BB5C7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4075" cy="1371600"/>
        </a:xfrm>
        <a:prstGeom prst="rect">
          <a:avLst/>
        </a:prstGeom>
      </xdr:spPr>
    </xdr:pic>
    <xdr:clientData/>
  </xdr:oneCellAnchor>
  <xdr:oneCellAnchor>
    <xdr:from>
      <xdr:col>1</xdr:col>
      <xdr:colOff>419100</xdr:colOff>
      <xdr:row>23</xdr:row>
      <xdr:rowOff>66675</xdr:rowOff>
    </xdr:from>
    <xdr:ext cx="2120900" cy="1368425"/>
    <xdr:pic>
      <xdr:nvPicPr>
        <xdr:cNvPr id="10" name="Picture 9">
          <a:extLst>
            <a:ext uri="{FF2B5EF4-FFF2-40B4-BE49-F238E27FC236}">
              <a16:creationId xmlns:a16="http://schemas.microsoft.com/office/drawing/2014/main" id="{84FDC8F4-B177-4F67-814D-B2E2A56412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0900" cy="1368425"/>
        </a:xfrm>
        <a:prstGeom prst="rect">
          <a:avLst/>
        </a:prstGeom>
      </xdr:spPr>
    </xdr:pic>
    <xdr:clientData/>
  </xdr:oneCellAnchor>
  <xdr:oneCellAnchor>
    <xdr:from>
      <xdr:col>1</xdr:col>
      <xdr:colOff>419100</xdr:colOff>
      <xdr:row>23</xdr:row>
      <xdr:rowOff>66675</xdr:rowOff>
    </xdr:from>
    <xdr:ext cx="2124075" cy="1371600"/>
    <xdr:pic>
      <xdr:nvPicPr>
        <xdr:cNvPr id="11" name="Picture 10">
          <a:extLst>
            <a:ext uri="{FF2B5EF4-FFF2-40B4-BE49-F238E27FC236}">
              <a16:creationId xmlns:a16="http://schemas.microsoft.com/office/drawing/2014/main" id="{D7AB7EEF-F727-41A6-84A6-4062D7D84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4075" cy="1371600"/>
        </a:xfrm>
        <a:prstGeom prst="rect">
          <a:avLst/>
        </a:prstGeom>
      </xdr:spPr>
    </xdr:pic>
    <xdr:clientData/>
  </xdr:oneCellAnchor>
  <xdr:oneCellAnchor>
    <xdr:from>
      <xdr:col>1</xdr:col>
      <xdr:colOff>419100</xdr:colOff>
      <xdr:row>23</xdr:row>
      <xdr:rowOff>66675</xdr:rowOff>
    </xdr:from>
    <xdr:ext cx="2120900" cy="1368425"/>
    <xdr:pic>
      <xdr:nvPicPr>
        <xdr:cNvPr id="13" name="Picture 12">
          <a:extLst>
            <a:ext uri="{FF2B5EF4-FFF2-40B4-BE49-F238E27FC236}">
              <a16:creationId xmlns:a16="http://schemas.microsoft.com/office/drawing/2014/main" id="{F7AA65CB-3AFA-4474-A4A9-A16C46A466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0900" cy="1368425"/>
        </a:xfrm>
        <a:prstGeom prst="rect">
          <a:avLst/>
        </a:prstGeom>
      </xdr:spPr>
    </xdr:pic>
    <xdr:clientData/>
  </xdr:oneCellAnchor>
  <xdr:oneCellAnchor>
    <xdr:from>
      <xdr:col>1</xdr:col>
      <xdr:colOff>419100</xdr:colOff>
      <xdr:row>23</xdr:row>
      <xdr:rowOff>66675</xdr:rowOff>
    </xdr:from>
    <xdr:ext cx="2124075" cy="1371600"/>
    <xdr:pic>
      <xdr:nvPicPr>
        <xdr:cNvPr id="14" name="Picture 13">
          <a:extLst>
            <a:ext uri="{FF2B5EF4-FFF2-40B4-BE49-F238E27FC236}">
              <a16:creationId xmlns:a16="http://schemas.microsoft.com/office/drawing/2014/main" id="{34FEE0CC-0FE3-48FA-82F0-1BC8F051DC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4075" cy="1371600"/>
        </a:xfrm>
        <a:prstGeom prst="rect">
          <a:avLst/>
        </a:prstGeom>
      </xdr:spPr>
    </xdr:pic>
    <xdr:clientData/>
  </xdr:oneCellAnchor>
  <xdr:oneCellAnchor>
    <xdr:from>
      <xdr:col>1</xdr:col>
      <xdr:colOff>419100</xdr:colOff>
      <xdr:row>23</xdr:row>
      <xdr:rowOff>66675</xdr:rowOff>
    </xdr:from>
    <xdr:ext cx="2120900" cy="1368425"/>
    <xdr:pic>
      <xdr:nvPicPr>
        <xdr:cNvPr id="15" name="Picture 14">
          <a:extLst>
            <a:ext uri="{FF2B5EF4-FFF2-40B4-BE49-F238E27FC236}">
              <a16:creationId xmlns:a16="http://schemas.microsoft.com/office/drawing/2014/main" id="{6197D0E9-C0D9-4993-9BFA-464C88500D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0900" cy="1368425"/>
        </a:xfrm>
        <a:prstGeom prst="rect">
          <a:avLst/>
        </a:prstGeom>
      </xdr:spPr>
    </xdr:pic>
    <xdr:clientData/>
  </xdr:oneCellAnchor>
  <xdr:oneCellAnchor>
    <xdr:from>
      <xdr:col>1</xdr:col>
      <xdr:colOff>419100</xdr:colOff>
      <xdr:row>23</xdr:row>
      <xdr:rowOff>66675</xdr:rowOff>
    </xdr:from>
    <xdr:ext cx="2124075" cy="1371600"/>
    <xdr:pic>
      <xdr:nvPicPr>
        <xdr:cNvPr id="16" name="Picture 15">
          <a:extLst>
            <a:ext uri="{FF2B5EF4-FFF2-40B4-BE49-F238E27FC236}">
              <a16:creationId xmlns:a16="http://schemas.microsoft.com/office/drawing/2014/main" id="{1D751723-9D7D-4F0B-937E-4EAA12CFE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 y="4657725"/>
          <a:ext cx="2124075" cy="1371600"/>
        </a:xfrm>
        <a:prstGeom prst="rect">
          <a:avLst/>
        </a:prstGeom>
      </xdr:spPr>
    </xdr:pic>
    <xdr:clientData/>
  </xdr:oneCellAnchor>
  <xdr:twoCellAnchor>
    <xdr:from>
      <xdr:col>12</xdr:col>
      <xdr:colOff>66675</xdr:colOff>
      <xdr:row>10</xdr:row>
      <xdr:rowOff>130174</xdr:rowOff>
    </xdr:from>
    <xdr:to>
      <xdr:col>17</xdr:col>
      <xdr:colOff>203201</xdr:colOff>
      <xdr:row>30</xdr:row>
      <xdr:rowOff>82550</xdr:rowOff>
    </xdr:to>
    <xdr:sp macro="" textlink="">
      <xdr:nvSpPr>
        <xdr:cNvPr id="17" name="Text Box 5">
          <a:extLst>
            <a:ext uri="{FF2B5EF4-FFF2-40B4-BE49-F238E27FC236}">
              <a16:creationId xmlns:a16="http://schemas.microsoft.com/office/drawing/2014/main" id="{4E65CB13-90D5-4BF4-93D8-68EAA2C454BC}"/>
            </a:ext>
          </a:extLst>
        </xdr:cNvPr>
        <xdr:cNvSpPr txBox="1">
          <a:spLocks noChangeArrowheads="1"/>
        </xdr:cNvSpPr>
      </xdr:nvSpPr>
      <xdr:spPr bwMode="auto">
        <a:xfrm>
          <a:off x="10245725" y="2206624"/>
          <a:ext cx="3184526" cy="388937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endParaRPr lang="en-US" sz="1200" b="1"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a:effectLst/>
              <a:latin typeface="Arial" panose="020B0604020202020204" pitchFamily="34" charset="0"/>
              <a:ea typeface="+mn-ea"/>
              <a:cs typeface="Arial" panose="020B0604020202020204" pitchFamily="34" charset="0"/>
            </a:rPr>
            <a:t>Excels’ “Goal Seek” is used to determine the value of an equation with variables when a variable is changed.</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Goal Seek at "Data" tab.</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Data &gt; What-If Analysis &gt; Goal Seek &gt;</a:t>
          </a:r>
        </a:p>
        <a:p>
          <a:pPr algn="l" rtl="0">
            <a:defRPr sz="1000"/>
          </a:pPr>
          <a:r>
            <a:rPr lang="en-US" sz="1200" b="1" i="0" u="none" strike="noStrike" baseline="0">
              <a:solidFill>
                <a:srgbClr val="000000"/>
              </a:solidFill>
              <a:latin typeface="Arial"/>
              <a:cs typeface="Arial"/>
            </a:rPr>
            <a:t>To value : (   ) &gt; By changing Cell (  ).</a:t>
          </a:r>
        </a:p>
        <a:p>
          <a:pPr algn="l" rtl="0">
            <a:defRPr sz="1000"/>
          </a:pPr>
          <a:endParaRPr lang="en-US" sz="1200" b="1"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When using Excel's Goal Seek, unprotect the spread sheet by selecting:</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Drop down menu: </a:t>
          </a:r>
          <a:r>
            <a:rPr lang="en-US" sz="1200" b="1" i="0" u="none" strike="noStrike" baseline="0">
              <a:solidFill>
                <a:srgbClr val="000000"/>
              </a:solidFill>
              <a:latin typeface="Arial"/>
              <a:cs typeface="Arial"/>
            </a:rPr>
            <a:t>Tools &gt; Protection &gt; Unprotect Sheet &gt; OK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When Excel's Goal Seek is not needed, restore protection with:</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Drop down menu: </a:t>
          </a:r>
          <a:r>
            <a:rPr lang="en-US" sz="1200" b="1" i="0" u="none" strike="noStrike" baseline="0">
              <a:solidFill>
                <a:srgbClr val="000000"/>
              </a:solidFill>
              <a:latin typeface="Arial"/>
              <a:cs typeface="Arial"/>
            </a:rPr>
            <a:t>Tools &gt; Protection &gt; Protect Sheet &gt; OK </a:t>
          </a: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13</xdr:col>
      <xdr:colOff>349250</xdr:colOff>
      <xdr:row>1</xdr:row>
      <xdr:rowOff>19050</xdr:rowOff>
    </xdr:from>
    <xdr:to>
      <xdr:col>17</xdr:col>
      <xdr:colOff>38209</xdr:colOff>
      <xdr:row>8</xdr:row>
      <xdr:rowOff>171531</xdr:rowOff>
    </xdr:to>
    <xdr:pic>
      <xdr:nvPicPr>
        <xdr:cNvPr id="18" name="Picture 17">
          <a:extLst>
            <a:ext uri="{FF2B5EF4-FFF2-40B4-BE49-F238E27FC236}">
              <a16:creationId xmlns:a16="http://schemas.microsoft.com/office/drawing/2014/main" id="{88F9D04F-471D-CAF4-C394-4D0AD2D42CFD}"/>
            </a:ext>
          </a:extLst>
        </xdr:cNvPr>
        <xdr:cNvPicPr>
          <a:picLocks noChangeAspect="1"/>
        </xdr:cNvPicPr>
      </xdr:nvPicPr>
      <xdr:blipFill>
        <a:blip xmlns:r="http://schemas.openxmlformats.org/officeDocument/2006/relationships" r:embed="rId8"/>
        <a:stretch>
          <a:fillRect/>
        </a:stretch>
      </xdr:blipFill>
      <xdr:spPr>
        <a:xfrm>
          <a:off x="11137900" y="247650"/>
          <a:ext cx="2127359" cy="15748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n.wikipedia.org/wiki/Fuel_efficienc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n.wikipedia.org/wiki/Automobile_drag_coefficien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lv.com/global/TI/calculator/steam-table-pressure.html" TargetMode="External"/><Relationship Id="rId7" Type="http://schemas.openxmlformats.org/officeDocument/2006/relationships/drawing" Target="../drawings/drawing3.xml"/><Relationship Id="rId2" Type="http://schemas.openxmlformats.org/officeDocument/2006/relationships/hyperlink" Target="https://www.tlv.com/global/US/calculator" TargetMode="External"/><Relationship Id="rId1" Type="http://schemas.openxmlformats.org/officeDocument/2006/relationships/hyperlink" Target="https://www.tlv.com/global/US/calculator" TargetMode="External"/><Relationship Id="rId6" Type="http://schemas.openxmlformats.org/officeDocument/2006/relationships/printerSettings" Target="../printerSettings/printerSettings3.bin"/><Relationship Id="rId5" Type="http://schemas.openxmlformats.org/officeDocument/2006/relationships/hyperlink" Target="https://www.tlv.com/global/US/calculator" TargetMode="External"/><Relationship Id="rId4" Type="http://schemas.openxmlformats.org/officeDocument/2006/relationships/hyperlink" Target="https://www.tlv.com/global/US/calculato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engineeringtoolbox.com/dry-air-properties-d_973.html" TargetMode="External"/><Relationship Id="rId3" Type="http://schemas.openxmlformats.org/officeDocument/2006/relationships/hyperlink" Target="http://www.engineeringtoolbox.com/specific-heat-ratio-d_608.html" TargetMode="External"/><Relationship Id="rId7" Type="http://schemas.openxmlformats.org/officeDocument/2006/relationships/hyperlink" Target="http://www.engineeringtoolbox.com/density-specific-weight-gravity-d_290.html" TargetMode="External"/><Relationship Id="rId2" Type="http://schemas.openxmlformats.org/officeDocument/2006/relationships/hyperlink" Target="http://www.engineeringtoolbox.com/specific-heat-capacity-d_339.html" TargetMode="External"/><Relationship Id="rId1" Type="http://schemas.openxmlformats.org/officeDocument/2006/relationships/hyperlink" Target="http://www.engineeringtoolbox.com/temperature-d_291.html" TargetMode="External"/><Relationship Id="rId6" Type="http://schemas.openxmlformats.org/officeDocument/2006/relationships/hyperlink" Target="http://www.engineeringtoolbox.com/dynamic-absolute-kinematic-viscosity-d_412.html" TargetMode="External"/><Relationship Id="rId5" Type="http://schemas.openxmlformats.org/officeDocument/2006/relationships/hyperlink" Target="http://www.engineeringtoolbox.com/conductive-heat-transfer-d_428.html" TargetMode="External"/><Relationship Id="rId4" Type="http://schemas.openxmlformats.org/officeDocument/2006/relationships/hyperlink" Target="http://www.engineeringtoolbox.com/dynamic-absolute-kinematic-viscosity-d_412.htm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680"/>
  <sheetViews>
    <sheetView tabSelected="1" zoomScaleNormal="100" workbookViewId="0">
      <selection activeCell="I6" sqref="I6"/>
    </sheetView>
  </sheetViews>
  <sheetFormatPr defaultColWidth="8.7265625" defaultRowHeight="15.5" x14ac:dyDescent="0.35"/>
  <cols>
    <col min="1" max="1" width="6.54296875" style="20" customWidth="1"/>
    <col min="2" max="2" width="17.26953125" style="20" customWidth="1"/>
    <col min="3" max="3" width="13.26953125" style="20" customWidth="1"/>
    <col min="4" max="4" width="13.81640625" style="20" customWidth="1"/>
    <col min="5" max="5" width="23.54296875" style="20" customWidth="1"/>
    <col min="6" max="6" width="14.7265625" style="20" customWidth="1"/>
    <col min="7" max="7" width="6.81640625" style="20" customWidth="1"/>
    <col min="8" max="8" width="24" style="20" customWidth="1"/>
    <col min="9" max="9" width="26" style="29" customWidth="1"/>
    <col min="10" max="10" width="11.26953125" style="27" customWidth="1"/>
    <col min="11" max="11" width="8.81640625" style="27" customWidth="1"/>
    <col min="12" max="12" width="11" style="25" customWidth="1"/>
    <col min="13" max="13" width="10.54296875" style="25" customWidth="1"/>
    <col min="14" max="14" width="8.54296875" style="25" customWidth="1"/>
    <col min="15" max="15" width="15.26953125" style="26" customWidth="1"/>
    <col min="16" max="16" width="8.7265625" style="20"/>
    <col min="17" max="17" width="18.1796875" style="20" customWidth="1"/>
    <col min="18" max="16384" width="8.7265625" style="20"/>
  </cols>
  <sheetData>
    <row r="1" spans="2:19" ht="20.5" thickBot="1" x14ac:dyDescent="0.45">
      <c r="B1" s="46" t="s">
        <v>845</v>
      </c>
      <c r="G1" s="21"/>
      <c r="H1" s="21"/>
      <c r="I1" s="22"/>
      <c r="J1" s="23"/>
      <c r="K1" s="23"/>
      <c r="L1" s="24"/>
      <c r="M1" s="24"/>
      <c r="N1" s="24"/>
      <c r="O1" s="83"/>
      <c r="P1" s="21"/>
      <c r="Q1" s="21"/>
      <c r="R1" s="21"/>
      <c r="S1" s="21"/>
    </row>
    <row r="2" spans="2:19" ht="18.5" thickBot="1" x14ac:dyDescent="0.45">
      <c r="B2" s="27"/>
      <c r="G2" s="21"/>
      <c r="H2" s="373" t="s">
        <v>973</v>
      </c>
      <c r="I2" s="374" t="s">
        <v>974</v>
      </c>
      <c r="J2" s="421"/>
      <c r="K2" s="23"/>
      <c r="L2" s="24"/>
      <c r="M2" s="24"/>
      <c r="N2" s="24"/>
      <c r="O2" s="83"/>
      <c r="P2" s="21"/>
      <c r="Q2" s="21"/>
      <c r="R2" s="21"/>
      <c r="S2" s="21"/>
    </row>
    <row r="3" spans="2:19" ht="18" x14ac:dyDescent="0.4">
      <c r="B3" s="3" t="s">
        <v>848</v>
      </c>
      <c r="G3" s="21"/>
      <c r="H3" s="301" t="s">
        <v>975</v>
      </c>
      <c r="I3" s="110" t="s">
        <v>975</v>
      </c>
      <c r="J3" s="13"/>
      <c r="K3" s="23"/>
      <c r="L3" s="24"/>
      <c r="M3" s="24"/>
      <c r="N3" s="24"/>
      <c r="O3" s="83"/>
      <c r="P3" s="21"/>
      <c r="Q3" s="21"/>
      <c r="R3" s="21"/>
      <c r="S3" s="21"/>
    </row>
    <row r="4" spans="2:19" x14ac:dyDescent="0.35">
      <c r="G4" s="21"/>
      <c r="H4" s="301" t="s">
        <v>517</v>
      </c>
      <c r="I4" s="303" t="s">
        <v>517</v>
      </c>
      <c r="J4" s="13"/>
      <c r="K4" s="23"/>
      <c r="L4" s="24"/>
      <c r="M4" s="24"/>
      <c r="N4" s="24"/>
      <c r="O4" s="83"/>
      <c r="P4" s="21"/>
      <c r="Q4" s="21"/>
      <c r="R4" s="21"/>
      <c r="S4" s="21"/>
    </row>
    <row r="5" spans="2:19" x14ac:dyDescent="0.35">
      <c r="B5" s="2"/>
      <c r="H5" s="301" t="s">
        <v>976</v>
      </c>
      <c r="I5" s="303" t="s">
        <v>976</v>
      </c>
      <c r="J5" s="13"/>
      <c r="K5" s="23"/>
      <c r="L5" s="24"/>
      <c r="M5" s="24"/>
      <c r="N5" s="24"/>
      <c r="O5" s="83"/>
      <c r="P5" s="21"/>
      <c r="Q5" s="21"/>
      <c r="R5" s="21"/>
      <c r="S5" s="21"/>
    </row>
    <row r="6" spans="2:19" x14ac:dyDescent="0.35">
      <c r="C6" s="28"/>
      <c r="D6" s="2"/>
      <c r="H6" s="301" t="s">
        <v>977</v>
      </c>
      <c r="I6" s="303" t="s">
        <v>977</v>
      </c>
      <c r="J6" s="13"/>
      <c r="K6" s="23"/>
      <c r="L6" s="24"/>
      <c r="M6" s="24"/>
      <c r="N6" s="24"/>
      <c r="O6" s="83"/>
      <c r="P6" s="21"/>
      <c r="Q6" s="21"/>
      <c r="R6" s="21"/>
      <c r="S6" s="21"/>
    </row>
    <row r="7" spans="2:19" x14ac:dyDescent="0.35">
      <c r="H7" s="301" t="s">
        <v>70</v>
      </c>
      <c r="I7" s="303" t="s">
        <v>70</v>
      </c>
      <c r="J7" s="13"/>
      <c r="K7" s="21"/>
      <c r="L7" s="21"/>
      <c r="M7" s="21"/>
      <c r="N7" s="24"/>
      <c r="O7" s="83"/>
      <c r="P7" s="21"/>
      <c r="Q7" s="21"/>
      <c r="R7" s="21"/>
      <c r="S7" s="21"/>
    </row>
    <row r="8" spans="2:19" x14ac:dyDescent="0.35">
      <c r="H8" s="301" t="s">
        <v>71</v>
      </c>
      <c r="I8" s="303" t="s">
        <v>71</v>
      </c>
      <c r="J8" s="13"/>
      <c r="K8" s="23"/>
      <c r="L8" s="24"/>
      <c r="M8" s="24"/>
      <c r="N8" s="24"/>
      <c r="O8" s="83"/>
      <c r="P8" s="21"/>
      <c r="Q8" s="21"/>
      <c r="R8" s="21"/>
      <c r="S8" s="21"/>
    </row>
    <row r="9" spans="2:19" ht="15" customHeight="1" x14ac:dyDescent="0.35">
      <c r="H9" s="301" t="s">
        <v>72</v>
      </c>
      <c r="I9" s="303" t="s">
        <v>72</v>
      </c>
      <c r="J9" s="21"/>
      <c r="K9" s="23"/>
      <c r="L9" s="24"/>
      <c r="M9" s="24"/>
      <c r="N9" s="24"/>
      <c r="O9" s="83"/>
      <c r="P9" s="21"/>
      <c r="Q9" s="21"/>
      <c r="R9" s="21"/>
      <c r="S9" s="21"/>
    </row>
    <row r="10" spans="2:19" x14ac:dyDescent="0.35">
      <c r="H10" s="301" t="s">
        <v>978</v>
      </c>
      <c r="I10" s="303" t="s">
        <v>978</v>
      </c>
      <c r="J10" s="23"/>
      <c r="K10" s="23"/>
      <c r="L10" s="24"/>
      <c r="M10" s="24"/>
      <c r="N10" s="24"/>
      <c r="O10" s="83"/>
      <c r="P10" s="21"/>
      <c r="Q10" s="21"/>
      <c r="R10" s="21"/>
      <c r="S10" s="21"/>
    </row>
    <row r="11" spans="2:19" ht="16" thickBot="1" x14ac:dyDescent="0.4">
      <c r="H11" s="302" t="s">
        <v>836</v>
      </c>
      <c r="I11" s="304" t="s">
        <v>836</v>
      </c>
      <c r="J11" s="23"/>
      <c r="K11" s="23"/>
      <c r="L11" s="24"/>
      <c r="M11" s="24"/>
      <c r="N11" s="24"/>
      <c r="O11" s="83"/>
      <c r="P11" s="21"/>
      <c r="Q11" s="21"/>
      <c r="R11" s="21"/>
      <c r="S11" s="21"/>
    </row>
    <row r="12" spans="2:19" x14ac:dyDescent="0.35">
      <c r="J12" s="23"/>
      <c r="K12" s="23"/>
      <c r="L12" s="24"/>
      <c r="M12" s="24"/>
      <c r="N12" s="24"/>
      <c r="O12" s="83"/>
      <c r="P12" s="21"/>
      <c r="Q12" s="21"/>
      <c r="R12" s="21"/>
      <c r="S12" s="21"/>
    </row>
    <row r="13" spans="2:19" ht="12.75" customHeight="1" x14ac:dyDescent="0.35">
      <c r="H13" s="17" t="s">
        <v>846</v>
      </c>
      <c r="I13" s="17"/>
      <c r="J13" s="278"/>
      <c r="K13" s="104"/>
      <c r="L13" s="21"/>
      <c r="M13" s="24"/>
      <c r="N13" s="83"/>
      <c r="O13" s="83"/>
      <c r="P13" s="21"/>
      <c r="Q13" s="21"/>
      <c r="R13" s="21"/>
      <c r="S13" s="21"/>
    </row>
    <row r="14" spans="2:19" x14ac:dyDescent="0.35">
      <c r="H14" s="45" t="s">
        <v>847</v>
      </c>
      <c r="I14" s="45"/>
      <c r="J14" s="104"/>
      <c r="K14" s="104"/>
      <c r="L14" s="21"/>
      <c r="M14" s="24"/>
      <c r="N14" s="83"/>
      <c r="O14" s="83"/>
      <c r="P14" s="21"/>
      <c r="Q14" s="21"/>
      <c r="R14" s="21"/>
      <c r="S14" s="21"/>
    </row>
    <row r="15" spans="2:19" x14ac:dyDescent="0.35">
      <c r="H15" s="45"/>
      <c r="I15" s="45"/>
      <c r="J15" s="104"/>
      <c r="K15" s="104"/>
      <c r="L15" s="21"/>
      <c r="M15" s="21"/>
      <c r="N15" s="83"/>
      <c r="O15" s="83"/>
      <c r="P15" s="21"/>
      <c r="Q15" s="21"/>
      <c r="R15" s="21"/>
      <c r="S15" s="21"/>
    </row>
    <row r="16" spans="2:19" x14ac:dyDescent="0.35">
      <c r="H16" s="45"/>
      <c r="I16" s="45"/>
      <c r="J16" s="104"/>
      <c r="K16" s="104"/>
      <c r="L16" s="21"/>
      <c r="M16" s="21"/>
      <c r="N16" s="83"/>
      <c r="O16" s="83"/>
      <c r="P16" s="21"/>
      <c r="Q16" s="21"/>
      <c r="R16" s="21"/>
      <c r="S16" s="21"/>
    </row>
    <row r="17" spans="2:19" x14ac:dyDescent="0.35">
      <c r="H17" s="45"/>
      <c r="I17" s="45"/>
      <c r="J17" s="104"/>
      <c r="K17" s="104"/>
      <c r="L17" s="21"/>
      <c r="M17" s="21"/>
      <c r="N17" s="83"/>
      <c r="O17" s="83"/>
      <c r="P17" s="21"/>
      <c r="Q17" s="21"/>
      <c r="R17" s="21"/>
      <c r="S17" s="21"/>
    </row>
    <row r="18" spans="2:19" x14ac:dyDescent="0.35">
      <c r="H18" s="45"/>
      <c r="I18" s="45"/>
      <c r="J18" s="104"/>
      <c r="K18" s="104"/>
      <c r="L18" s="21"/>
      <c r="M18" s="21"/>
      <c r="N18" s="83"/>
      <c r="O18" s="83"/>
      <c r="P18" s="21"/>
      <c r="Q18" s="21"/>
      <c r="R18" s="21"/>
      <c r="S18" s="21"/>
    </row>
    <row r="19" spans="2:19" x14ac:dyDescent="0.35">
      <c r="B19" s="21"/>
      <c r="C19" s="22"/>
      <c r="D19" s="23"/>
      <c r="E19" s="23"/>
      <c r="F19" s="24"/>
      <c r="G19" s="24"/>
      <c r="H19" s="45"/>
      <c r="I19" s="45"/>
      <c r="J19" s="104"/>
      <c r="K19" s="104"/>
      <c r="L19" s="21"/>
      <c r="M19" s="21"/>
      <c r="N19" s="83"/>
      <c r="O19" s="83"/>
      <c r="P19" s="21"/>
      <c r="Q19" s="21"/>
      <c r="R19" s="21"/>
      <c r="S19" s="21"/>
    </row>
    <row r="20" spans="2:19" x14ac:dyDescent="0.35">
      <c r="B20" s="21"/>
      <c r="C20" s="22"/>
      <c r="D20" s="23"/>
      <c r="E20" s="23"/>
      <c r="F20" s="24"/>
      <c r="G20" s="24"/>
      <c r="H20" s="45"/>
      <c r="I20" s="45"/>
      <c r="J20" s="104"/>
      <c r="K20" s="104"/>
      <c r="L20" s="21"/>
      <c r="M20" s="21"/>
      <c r="N20" s="83"/>
      <c r="O20" s="83"/>
      <c r="P20" s="21"/>
      <c r="Q20" s="21"/>
      <c r="R20" s="21"/>
      <c r="S20" s="21"/>
    </row>
    <row r="21" spans="2:19" x14ac:dyDescent="0.35">
      <c r="B21" s="21"/>
      <c r="C21" s="22"/>
      <c r="D21" s="23"/>
      <c r="E21" s="23"/>
      <c r="F21" s="24"/>
      <c r="G21" s="24"/>
      <c r="I21" s="20"/>
      <c r="J21" s="21"/>
      <c r="K21" s="21"/>
      <c r="L21" s="21"/>
      <c r="M21" s="21"/>
      <c r="N21" s="83"/>
      <c r="O21" s="83"/>
      <c r="P21" s="21"/>
      <c r="Q21" s="21"/>
      <c r="R21" s="21"/>
      <c r="S21" s="21"/>
    </row>
    <row r="22" spans="2:19" x14ac:dyDescent="0.35">
      <c r="B22" s="21"/>
      <c r="C22" s="29"/>
      <c r="D22" s="27"/>
      <c r="E22" s="27"/>
      <c r="F22" s="25"/>
      <c r="G22" s="24"/>
      <c r="I22" s="20"/>
      <c r="J22" s="21"/>
      <c r="K22" s="21"/>
      <c r="L22" s="21"/>
      <c r="M22" s="21"/>
      <c r="N22" s="83"/>
      <c r="O22" s="24"/>
      <c r="P22" s="24"/>
      <c r="Q22" s="24"/>
      <c r="R22" s="83"/>
      <c r="S22" s="21"/>
    </row>
    <row r="23" spans="2:19" x14ac:dyDescent="0.35">
      <c r="B23" s="21"/>
      <c r="C23" s="29"/>
      <c r="D23" s="27"/>
      <c r="E23" s="27"/>
      <c r="F23" s="25"/>
      <c r="G23" s="24"/>
      <c r="I23" s="20"/>
      <c r="J23" s="21"/>
      <c r="K23" s="21"/>
      <c r="L23" s="21"/>
      <c r="M23" s="24"/>
      <c r="N23" s="83"/>
      <c r="O23" s="24"/>
      <c r="P23" s="24"/>
      <c r="Q23" s="24"/>
      <c r="R23" s="83"/>
      <c r="S23" s="21"/>
    </row>
    <row r="24" spans="2:19" x14ac:dyDescent="0.35">
      <c r="B24" s="21"/>
      <c r="C24" s="29"/>
      <c r="D24" s="27"/>
      <c r="E24" s="27"/>
      <c r="F24" s="25"/>
      <c r="G24" s="24"/>
      <c r="H24" s="29"/>
      <c r="I24" s="27"/>
      <c r="J24" s="23"/>
      <c r="K24" s="24"/>
      <c r="L24" s="24"/>
      <c r="M24" s="24"/>
      <c r="N24" s="83"/>
      <c r="O24" s="83"/>
      <c r="P24" s="21"/>
      <c r="Q24" s="21"/>
      <c r="R24" s="21"/>
      <c r="S24" s="21"/>
    </row>
    <row r="25" spans="2:19" x14ac:dyDescent="0.35">
      <c r="B25" s="21"/>
      <c r="C25" s="22"/>
      <c r="D25" s="23"/>
      <c r="E25" s="23"/>
      <c r="F25" s="24"/>
      <c r="G25" s="24"/>
      <c r="H25" s="21"/>
      <c r="I25" s="20"/>
      <c r="J25" s="23"/>
      <c r="K25" s="23"/>
      <c r="L25" s="24"/>
      <c r="M25" s="24"/>
      <c r="N25" s="21"/>
      <c r="O25" s="83"/>
      <c r="P25" s="21"/>
      <c r="Q25" s="21"/>
      <c r="R25" s="21"/>
      <c r="S25" s="21"/>
    </row>
    <row r="26" spans="2:19" x14ac:dyDescent="0.35">
      <c r="B26" s="21"/>
      <c r="C26" s="22"/>
      <c r="D26" s="23"/>
      <c r="E26" s="23"/>
      <c r="F26" s="24"/>
      <c r="G26" s="24"/>
      <c r="H26" s="21"/>
      <c r="I26" s="20"/>
      <c r="J26" s="21"/>
      <c r="K26" s="21"/>
      <c r="L26" s="21"/>
      <c r="M26" s="21"/>
      <c r="N26" s="21"/>
      <c r="O26" s="83"/>
      <c r="P26" s="21"/>
      <c r="Q26" s="21"/>
      <c r="R26" s="21"/>
      <c r="S26" s="21"/>
    </row>
    <row r="27" spans="2:19" x14ac:dyDescent="0.35">
      <c r="B27" s="21"/>
      <c r="C27" s="22"/>
      <c r="D27" s="23"/>
      <c r="E27" s="23"/>
      <c r="F27" s="24"/>
      <c r="G27" s="24"/>
      <c r="H27" s="21"/>
      <c r="I27" s="20"/>
      <c r="J27" s="21"/>
      <c r="K27" s="21"/>
      <c r="L27" s="21"/>
      <c r="M27" s="21"/>
      <c r="N27" s="21"/>
      <c r="O27" s="83"/>
      <c r="P27" s="21"/>
      <c r="Q27" s="21"/>
      <c r="R27" s="21"/>
      <c r="S27" s="21"/>
    </row>
    <row r="28" spans="2:19" x14ac:dyDescent="0.35">
      <c r="B28" s="21"/>
      <c r="C28" s="22"/>
      <c r="D28" s="23"/>
      <c r="E28" s="23"/>
      <c r="F28" s="24"/>
      <c r="G28" s="24"/>
      <c r="H28" s="21"/>
      <c r="I28" s="20"/>
      <c r="J28" s="21"/>
      <c r="K28" s="21"/>
      <c r="L28" s="21"/>
      <c r="M28" s="21"/>
      <c r="N28" s="21"/>
      <c r="O28" s="83"/>
      <c r="P28" s="21"/>
      <c r="Q28" s="21"/>
      <c r="R28" s="21"/>
      <c r="S28" s="21"/>
    </row>
    <row r="29" spans="2:19" x14ac:dyDescent="0.35">
      <c r="B29" s="21"/>
      <c r="C29" s="22"/>
      <c r="D29" s="23"/>
      <c r="E29" s="23"/>
      <c r="F29" s="24"/>
      <c r="G29" s="24"/>
      <c r="H29" s="21"/>
      <c r="I29" s="20"/>
      <c r="J29" s="21"/>
      <c r="K29" s="21"/>
      <c r="L29" s="21"/>
      <c r="M29" s="21"/>
      <c r="N29" s="21"/>
      <c r="O29" s="83"/>
      <c r="P29" s="21"/>
      <c r="Q29" s="21"/>
      <c r="R29" s="21"/>
      <c r="S29" s="21"/>
    </row>
    <row r="30" spans="2:19" x14ac:dyDescent="0.35">
      <c r="B30" s="21"/>
      <c r="C30" s="22"/>
      <c r="D30" s="23"/>
      <c r="E30" s="23"/>
      <c r="F30" s="24"/>
      <c r="G30" s="24"/>
      <c r="H30" s="21"/>
      <c r="I30" s="20"/>
      <c r="J30" s="21"/>
      <c r="K30" s="21"/>
      <c r="L30" s="21"/>
      <c r="M30" s="21"/>
      <c r="N30" s="21"/>
      <c r="O30" s="83"/>
      <c r="P30" s="21"/>
      <c r="Q30" s="21"/>
      <c r="R30" s="21"/>
      <c r="S30" s="21"/>
    </row>
    <row r="31" spans="2:19" x14ac:dyDescent="0.35">
      <c r="B31" s="21"/>
      <c r="C31" s="22"/>
      <c r="D31" s="23"/>
      <c r="E31" s="23"/>
      <c r="F31" s="24"/>
      <c r="G31" s="24"/>
      <c r="H31" s="21"/>
      <c r="I31" s="20"/>
      <c r="J31" s="21"/>
      <c r="K31" s="21"/>
      <c r="L31" s="21"/>
      <c r="M31" s="21"/>
      <c r="N31" s="21"/>
      <c r="O31" s="83"/>
      <c r="P31" s="21"/>
      <c r="Q31" s="21"/>
      <c r="R31" s="21"/>
      <c r="S31" s="21"/>
    </row>
    <row r="32" spans="2:19" x14ac:dyDescent="0.35">
      <c r="C32" s="22"/>
      <c r="D32" s="23"/>
      <c r="E32" s="23"/>
      <c r="F32" s="24"/>
      <c r="G32" s="24"/>
      <c r="H32" s="21"/>
      <c r="I32" s="20"/>
      <c r="J32" s="21"/>
      <c r="K32" s="21"/>
      <c r="L32" s="21"/>
      <c r="M32" s="21"/>
      <c r="N32" s="21"/>
      <c r="O32" s="83"/>
      <c r="P32" s="21"/>
      <c r="Q32" s="21"/>
      <c r="R32" s="21"/>
      <c r="S32" s="21"/>
    </row>
    <row r="33" spans="2:19" x14ac:dyDescent="0.35">
      <c r="B33" s="21"/>
      <c r="C33" s="22"/>
      <c r="D33" s="23"/>
      <c r="E33" s="23"/>
      <c r="F33" s="24"/>
      <c r="G33" s="24"/>
      <c r="H33" s="21"/>
      <c r="I33" s="20"/>
      <c r="J33" s="21"/>
      <c r="K33" s="21"/>
      <c r="L33" s="21"/>
      <c r="M33" s="21"/>
      <c r="N33" s="21"/>
      <c r="O33" s="83"/>
      <c r="P33" s="21"/>
      <c r="Q33" s="21"/>
      <c r="R33" s="21"/>
      <c r="S33" s="21"/>
    </row>
    <row r="34" spans="2:19" x14ac:dyDescent="0.35">
      <c r="B34" s="21"/>
      <c r="C34" s="22"/>
      <c r="D34" s="23"/>
      <c r="E34" s="23"/>
      <c r="F34" s="24"/>
      <c r="G34" s="24"/>
      <c r="H34" s="21"/>
      <c r="I34" s="20"/>
      <c r="J34" s="21"/>
      <c r="K34" s="21"/>
      <c r="L34" s="21"/>
      <c r="M34" s="21"/>
      <c r="N34" s="21"/>
      <c r="O34" s="83"/>
      <c r="P34" s="21"/>
      <c r="Q34" s="21"/>
      <c r="R34" s="21"/>
      <c r="S34" s="21"/>
    </row>
    <row r="35" spans="2:19" x14ac:dyDescent="0.35">
      <c r="B35" s="21"/>
      <c r="C35" s="22"/>
      <c r="D35" s="23"/>
      <c r="E35" s="23"/>
      <c r="F35" s="24"/>
      <c r="G35" s="24"/>
      <c r="H35" s="21"/>
      <c r="I35" s="20"/>
      <c r="J35" s="21"/>
      <c r="K35" s="21"/>
      <c r="L35" s="21"/>
      <c r="M35" s="21"/>
      <c r="N35" s="21"/>
      <c r="O35" s="83"/>
      <c r="P35" s="21"/>
      <c r="Q35" s="21"/>
      <c r="R35" s="21"/>
      <c r="S35" s="21"/>
    </row>
    <row r="36" spans="2:19" x14ac:dyDescent="0.35">
      <c r="B36" s="21"/>
      <c r="C36" s="22"/>
      <c r="D36" s="23"/>
      <c r="E36" s="23"/>
      <c r="F36" s="24"/>
      <c r="G36" s="24"/>
      <c r="H36" s="21"/>
      <c r="I36" s="20"/>
      <c r="J36" s="21"/>
      <c r="K36" s="21"/>
      <c r="L36" s="21"/>
      <c r="M36" s="21"/>
      <c r="N36" s="21"/>
      <c r="O36" s="83"/>
      <c r="P36" s="21"/>
      <c r="Q36" s="21"/>
      <c r="R36" s="21"/>
      <c r="S36" s="21"/>
    </row>
    <row r="37" spans="2:19" x14ac:dyDescent="0.35">
      <c r="B37" s="21"/>
      <c r="C37" s="22"/>
      <c r="D37" s="23"/>
      <c r="E37" s="23"/>
      <c r="F37" s="24"/>
      <c r="G37" s="24"/>
      <c r="H37" s="21"/>
      <c r="I37" s="20"/>
      <c r="J37" s="21"/>
      <c r="K37" s="21"/>
      <c r="L37" s="21"/>
      <c r="M37" s="21"/>
      <c r="N37" s="21"/>
      <c r="O37" s="83"/>
      <c r="P37" s="21"/>
      <c r="Q37" s="21"/>
      <c r="R37" s="21"/>
      <c r="S37" s="21"/>
    </row>
    <row r="38" spans="2:19" x14ac:dyDescent="0.35">
      <c r="B38" s="21"/>
      <c r="C38" s="22"/>
      <c r="D38" s="23"/>
      <c r="E38" s="23"/>
      <c r="F38" s="24"/>
      <c r="G38" s="24"/>
      <c r="H38" s="21"/>
      <c r="I38" s="20"/>
      <c r="J38" s="21"/>
      <c r="K38" s="21"/>
      <c r="L38" s="21"/>
      <c r="M38" s="21"/>
      <c r="N38" s="21"/>
      <c r="O38" s="83"/>
      <c r="P38" s="21"/>
      <c r="Q38" s="21"/>
      <c r="R38" s="21"/>
      <c r="S38" s="21"/>
    </row>
    <row r="39" spans="2:19" x14ac:dyDescent="0.35">
      <c r="B39" s="21"/>
      <c r="C39" s="22"/>
      <c r="D39" s="23"/>
      <c r="E39" s="23"/>
      <c r="F39" s="24"/>
      <c r="G39" s="24"/>
      <c r="H39" s="21"/>
      <c r="I39" s="20"/>
      <c r="J39" s="21"/>
      <c r="K39" s="21"/>
      <c r="L39" s="21"/>
      <c r="M39" s="21"/>
      <c r="N39" s="21"/>
      <c r="O39" s="83"/>
      <c r="P39" s="21"/>
      <c r="Q39" s="21"/>
      <c r="R39" s="21"/>
      <c r="S39" s="21"/>
    </row>
    <row r="40" spans="2:19" x14ac:dyDescent="0.35">
      <c r="B40" s="21"/>
      <c r="C40" s="22"/>
      <c r="D40" s="23"/>
      <c r="E40" s="23"/>
      <c r="F40" s="24"/>
      <c r="G40" s="24"/>
      <c r="H40" s="21"/>
      <c r="I40" s="20"/>
      <c r="J40" s="21"/>
      <c r="K40" s="21"/>
      <c r="L40" s="21"/>
      <c r="M40" s="21"/>
      <c r="N40" s="21"/>
      <c r="O40" s="83"/>
      <c r="P40" s="21"/>
      <c r="Q40" s="21"/>
      <c r="R40" s="21"/>
      <c r="S40" s="21"/>
    </row>
    <row r="41" spans="2:19" x14ac:dyDescent="0.35">
      <c r="B41" s="21"/>
      <c r="C41" s="22"/>
      <c r="D41" s="23"/>
      <c r="E41" s="23"/>
      <c r="F41" s="24"/>
      <c r="G41" s="24"/>
      <c r="H41" s="21"/>
      <c r="I41" s="20"/>
      <c r="J41" s="21"/>
      <c r="K41" s="21"/>
      <c r="L41" s="21"/>
      <c r="M41" s="21"/>
      <c r="N41" s="21"/>
      <c r="O41" s="83"/>
      <c r="P41" s="21"/>
      <c r="Q41" s="21"/>
      <c r="R41" s="21"/>
      <c r="S41" s="21"/>
    </row>
    <row r="42" spans="2:19" x14ac:dyDescent="0.35">
      <c r="B42" s="21"/>
      <c r="C42" s="22"/>
      <c r="D42" s="23"/>
      <c r="E42" s="23"/>
      <c r="F42" s="24"/>
      <c r="G42" s="24"/>
      <c r="H42" s="21"/>
      <c r="I42" s="20"/>
      <c r="J42" s="21"/>
      <c r="K42" s="21"/>
      <c r="L42" s="21"/>
      <c r="M42" s="21"/>
      <c r="N42" s="21"/>
      <c r="O42" s="83"/>
      <c r="P42" s="21"/>
      <c r="Q42" s="21"/>
      <c r="R42" s="21"/>
      <c r="S42" s="21"/>
    </row>
    <row r="43" spans="2:19" x14ac:dyDescent="0.35">
      <c r="B43" s="21"/>
      <c r="C43" s="22"/>
      <c r="D43" s="23"/>
      <c r="E43" s="23"/>
      <c r="F43" s="24"/>
      <c r="G43" s="24"/>
      <c r="H43" s="21"/>
      <c r="I43" s="20"/>
      <c r="J43" s="21"/>
      <c r="K43" s="21"/>
      <c r="L43" s="21"/>
      <c r="M43" s="21"/>
      <c r="N43" s="21"/>
      <c r="O43" s="83"/>
      <c r="P43" s="21"/>
      <c r="Q43" s="21"/>
      <c r="R43" s="21"/>
      <c r="S43" s="21"/>
    </row>
    <row r="44" spans="2:19" x14ac:dyDescent="0.35">
      <c r="B44" s="21"/>
      <c r="C44" s="22"/>
      <c r="D44" s="23"/>
      <c r="E44" s="23"/>
      <c r="F44" s="24"/>
      <c r="G44" s="24"/>
      <c r="H44" s="21"/>
      <c r="I44" s="20"/>
      <c r="J44" s="21"/>
      <c r="K44" s="21"/>
      <c r="L44" s="21"/>
      <c r="M44" s="21"/>
      <c r="N44" s="21"/>
      <c r="O44" s="83"/>
      <c r="P44" s="21"/>
      <c r="Q44" s="21"/>
      <c r="R44" s="21"/>
      <c r="S44" s="21"/>
    </row>
    <row r="45" spans="2:19" x14ac:dyDescent="0.35">
      <c r="B45" s="21"/>
      <c r="C45" s="22"/>
      <c r="D45" s="23"/>
      <c r="E45" s="23"/>
      <c r="F45" s="24"/>
      <c r="G45" s="24"/>
      <c r="H45" s="21"/>
      <c r="I45" s="20"/>
      <c r="J45" s="21"/>
      <c r="K45" s="21"/>
      <c r="L45" s="21"/>
      <c r="M45" s="21"/>
      <c r="N45" s="21"/>
      <c r="O45" s="83"/>
      <c r="P45" s="21"/>
      <c r="Q45" s="21"/>
      <c r="R45" s="21"/>
      <c r="S45" s="21"/>
    </row>
    <row r="46" spans="2:19" x14ac:dyDescent="0.35">
      <c r="B46" s="21"/>
      <c r="C46" s="22"/>
      <c r="D46" s="23"/>
      <c r="E46" s="23"/>
      <c r="F46" s="24"/>
      <c r="G46" s="24"/>
      <c r="H46" s="21"/>
      <c r="I46" s="20"/>
      <c r="J46" s="21"/>
      <c r="K46" s="21"/>
      <c r="L46" s="21"/>
      <c r="M46" s="21"/>
      <c r="N46" s="21"/>
      <c r="O46" s="83"/>
      <c r="P46" s="21"/>
      <c r="Q46" s="21"/>
      <c r="R46" s="21"/>
      <c r="S46" s="21"/>
    </row>
    <row r="47" spans="2:19" ht="12.75" customHeight="1" x14ac:dyDescent="0.35">
      <c r="B47" s="21"/>
      <c r="C47" s="30"/>
      <c r="F47" s="24"/>
      <c r="G47" s="24"/>
      <c r="H47" s="21"/>
      <c r="I47" s="20"/>
      <c r="J47" s="21"/>
      <c r="K47" s="21"/>
      <c r="L47" s="21"/>
      <c r="M47" s="21"/>
      <c r="N47" s="21"/>
      <c r="O47" s="83"/>
      <c r="P47" s="21"/>
      <c r="Q47" s="21"/>
      <c r="R47" s="21"/>
      <c r="S47" s="21"/>
    </row>
    <row r="48" spans="2:19" x14ac:dyDescent="0.35">
      <c r="B48" s="21"/>
      <c r="C48" s="31"/>
      <c r="D48" s="31"/>
      <c r="E48" s="32"/>
      <c r="F48" s="24"/>
      <c r="G48" s="24"/>
      <c r="H48" s="21"/>
      <c r="I48" s="20"/>
      <c r="J48" s="21"/>
      <c r="K48" s="21"/>
      <c r="L48" s="21"/>
      <c r="M48" s="21"/>
      <c r="N48" s="21"/>
      <c r="O48" s="83"/>
      <c r="P48" s="21"/>
      <c r="Q48" s="21"/>
      <c r="R48" s="21"/>
      <c r="S48" s="21"/>
    </row>
    <row r="49" spans="2:19" x14ac:dyDescent="0.35">
      <c r="B49" s="21"/>
      <c r="C49" s="22"/>
      <c r="D49" s="23"/>
      <c r="E49" s="23"/>
      <c r="F49" s="24"/>
      <c r="G49" s="24"/>
      <c r="H49" s="21"/>
      <c r="I49" s="20"/>
      <c r="J49" s="21"/>
      <c r="K49" s="21"/>
      <c r="L49" s="21"/>
      <c r="M49" s="21"/>
      <c r="N49" s="21"/>
      <c r="O49" s="83"/>
      <c r="P49" s="21"/>
      <c r="Q49" s="21"/>
      <c r="R49" s="21"/>
      <c r="S49" s="21"/>
    </row>
    <row r="50" spans="2:19" x14ac:dyDescent="0.35">
      <c r="B50" s="21"/>
      <c r="C50" s="22"/>
      <c r="D50" s="23"/>
      <c r="E50" s="23"/>
      <c r="F50" s="24"/>
      <c r="G50" s="24"/>
      <c r="H50" s="21"/>
      <c r="I50" s="20"/>
      <c r="J50" s="21"/>
      <c r="K50" s="21"/>
      <c r="L50" s="21"/>
      <c r="M50" s="21"/>
      <c r="N50" s="21"/>
      <c r="O50" s="83"/>
      <c r="P50" s="21"/>
      <c r="Q50" s="21"/>
      <c r="R50" s="21"/>
      <c r="S50" s="21"/>
    </row>
    <row r="51" spans="2:19" x14ac:dyDescent="0.35">
      <c r="B51" s="21"/>
      <c r="C51" s="22"/>
      <c r="D51" s="23"/>
      <c r="E51" s="23"/>
      <c r="F51" s="24"/>
      <c r="G51" s="24"/>
      <c r="H51" s="21"/>
      <c r="I51" s="20"/>
      <c r="J51" s="21"/>
      <c r="K51" s="21"/>
      <c r="L51" s="21"/>
      <c r="M51" s="21"/>
      <c r="N51" s="21"/>
      <c r="O51" s="83"/>
      <c r="P51" s="21"/>
      <c r="Q51" s="21"/>
      <c r="R51" s="21"/>
      <c r="S51" s="21"/>
    </row>
    <row r="52" spans="2:19" x14ac:dyDescent="0.35">
      <c r="B52" s="21"/>
      <c r="C52" s="22"/>
      <c r="D52" s="23"/>
      <c r="E52" s="23"/>
      <c r="F52" s="24"/>
      <c r="G52" s="24"/>
      <c r="H52" s="21"/>
      <c r="I52" s="20"/>
      <c r="J52" s="21"/>
      <c r="K52" s="21"/>
      <c r="L52" s="21"/>
      <c r="M52" s="21"/>
      <c r="N52" s="21"/>
      <c r="O52" s="83"/>
      <c r="P52" s="21"/>
      <c r="Q52" s="21"/>
      <c r="R52" s="21"/>
      <c r="S52" s="21"/>
    </row>
    <row r="53" spans="2:19" x14ac:dyDescent="0.35">
      <c r="B53" s="21"/>
      <c r="C53" s="22"/>
      <c r="D53" s="23"/>
      <c r="E53" s="23"/>
      <c r="F53" s="24"/>
      <c r="G53" s="24"/>
      <c r="H53" s="21"/>
      <c r="I53" s="20"/>
      <c r="J53" s="21"/>
      <c r="K53" s="21"/>
      <c r="L53" s="21"/>
      <c r="M53" s="21"/>
      <c r="N53" s="21"/>
      <c r="O53" s="83"/>
      <c r="P53" s="21"/>
      <c r="Q53" s="21"/>
      <c r="R53" s="21"/>
      <c r="S53" s="21"/>
    </row>
    <row r="54" spans="2:19" x14ac:dyDescent="0.35">
      <c r="B54" s="21"/>
      <c r="C54" s="22"/>
      <c r="D54" s="23"/>
      <c r="E54" s="23"/>
      <c r="F54" s="24"/>
      <c r="G54" s="24"/>
      <c r="H54" s="21"/>
      <c r="I54" s="20"/>
      <c r="J54" s="21"/>
      <c r="K54" s="21"/>
      <c r="L54" s="21"/>
      <c r="M54" s="21"/>
      <c r="N54" s="21"/>
      <c r="O54" s="83"/>
      <c r="P54" s="21"/>
      <c r="Q54" s="21"/>
      <c r="R54" s="21"/>
      <c r="S54" s="21"/>
    </row>
    <row r="55" spans="2:19" x14ac:dyDescent="0.35">
      <c r="B55" s="21"/>
      <c r="C55" s="22"/>
      <c r="D55" s="23"/>
      <c r="E55" s="23"/>
      <c r="F55" s="24"/>
      <c r="G55" s="24"/>
      <c r="H55" s="21"/>
      <c r="I55" s="20"/>
      <c r="J55" s="21"/>
      <c r="K55" s="21"/>
      <c r="L55" s="21"/>
      <c r="M55" s="21"/>
      <c r="N55" s="21"/>
      <c r="O55" s="83"/>
      <c r="P55" s="21"/>
      <c r="Q55" s="21"/>
      <c r="R55" s="21"/>
      <c r="S55" s="21"/>
    </row>
    <row r="56" spans="2:19" x14ac:dyDescent="0.35">
      <c r="B56" s="21"/>
      <c r="C56" s="22"/>
      <c r="D56" s="23"/>
      <c r="E56" s="23"/>
      <c r="F56" s="24"/>
      <c r="G56" s="24"/>
      <c r="H56" s="21"/>
      <c r="I56" s="20"/>
      <c r="J56" s="21"/>
      <c r="K56" s="21"/>
      <c r="L56" s="21"/>
      <c r="M56" s="21"/>
      <c r="N56" s="21"/>
      <c r="O56" s="83"/>
      <c r="P56" s="21"/>
      <c r="Q56" s="21"/>
      <c r="R56" s="21"/>
      <c r="S56" s="21"/>
    </row>
    <row r="57" spans="2:19" x14ac:dyDescent="0.35">
      <c r="B57" s="21"/>
      <c r="C57" s="22"/>
      <c r="D57" s="23"/>
      <c r="E57" s="23"/>
      <c r="F57" s="24"/>
      <c r="G57" s="24"/>
      <c r="H57" s="21"/>
      <c r="I57" s="20"/>
      <c r="J57" s="21"/>
      <c r="K57" s="21"/>
      <c r="L57" s="21"/>
      <c r="M57" s="21"/>
      <c r="N57" s="21"/>
      <c r="O57" s="83"/>
      <c r="P57" s="21"/>
      <c r="Q57" s="21"/>
      <c r="R57" s="21"/>
      <c r="S57" s="21"/>
    </row>
    <row r="58" spans="2:19" x14ac:dyDescent="0.35">
      <c r="B58" s="21"/>
      <c r="C58" s="22"/>
      <c r="D58" s="23"/>
      <c r="E58" s="23"/>
      <c r="F58" s="24"/>
      <c r="G58" s="24"/>
      <c r="H58" s="21"/>
      <c r="I58" s="20"/>
      <c r="J58" s="21"/>
      <c r="K58" s="21"/>
      <c r="L58" s="21"/>
      <c r="M58" s="21"/>
      <c r="N58" s="21"/>
      <c r="O58" s="83"/>
      <c r="P58" s="21"/>
      <c r="Q58" s="21"/>
      <c r="R58" s="21"/>
      <c r="S58" s="21"/>
    </row>
    <row r="59" spans="2:19" x14ac:dyDescent="0.35">
      <c r="C59" s="22"/>
      <c r="D59" s="23"/>
      <c r="E59" s="23"/>
      <c r="F59" s="24"/>
      <c r="G59" s="24"/>
      <c r="H59" s="21"/>
      <c r="I59" s="20"/>
      <c r="J59" s="21"/>
      <c r="K59" s="21"/>
      <c r="L59" s="21"/>
      <c r="M59" s="21"/>
      <c r="N59" s="21"/>
      <c r="O59" s="83"/>
      <c r="P59" s="21"/>
      <c r="Q59" s="21"/>
      <c r="R59" s="21"/>
      <c r="S59" s="21"/>
    </row>
    <row r="60" spans="2:19" x14ac:dyDescent="0.35">
      <c r="C60" s="29"/>
      <c r="D60" s="27"/>
      <c r="E60" s="27"/>
      <c r="F60" s="25"/>
      <c r="G60" s="25"/>
      <c r="H60" s="21"/>
      <c r="I60" s="20"/>
      <c r="J60" s="21"/>
      <c r="K60" s="21"/>
      <c r="L60" s="21"/>
      <c r="M60" s="21"/>
      <c r="N60" s="21"/>
      <c r="O60" s="83"/>
      <c r="P60" s="21"/>
      <c r="Q60" s="21"/>
      <c r="R60" s="21"/>
      <c r="S60" s="21"/>
    </row>
    <row r="61" spans="2:19" x14ac:dyDescent="0.35">
      <c r="C61" s="29"/>
      <c r="D61" s="27"/>
      <c r="E61" s="27"/>
      <c r="F61" s="25"/>
      <c r="G61" s="25"/>
      <c r="H61" s="21"/>
      <c r="I61" s="20"/>
      <c r="J61" s="21"/>
      <c r="K61" s="21"/>
      <c r="L61" s="21"/>
      <c r="M61" s="21"/>
      <c r="N61" s="21"/>
      <c r="O61" s="83"/>
      <c r="P61" s="21"/>
      <c r="Q61" s="21"/>
      <c r="R61" s="21"/>
      <c r="S61" s="21"/>
    </row>
    <row r="62" spans="2:19" x14ac:dyDescent="0.35">
      <c r="C62" s="21"/>
      <c r="D62" s="22"/>
      <c r="E62" s="23"/>
      <c r="F62" s="23"/>
      <c r="G62" s="24"/>
      <c r="H62" s="21"/>
      <c r="I62" s="20"/>
      <c r="J62" s="21"/>
      <c r="K62" s="21"/>
      <c r="L62" s="21"/>
      <c r="M62" s="21"/>
      <c r="N62" s="21"/>
      <c r="O62" s="83"/>
      <c r="P62" s="21"/>
      <c r="Q62" s="21"/>
      <c r="R62" s="21"/>
      <c r="S62" s="21"/>
    </row>
    <row r="63" spans="2:19" x14ac:dyDescent="0.35">
      <c r="C63" s="21"/>
      <c r="D63" s="22"/>
      <c r="E63" s="23"/>
      <c r="F63" s="23"/>
      <c r="G63" s="24"/>
      <c r="H63" s="21"/>
      <c r="I63" s="20"/>
      <c r="J63" s="21"/>
      <c r="K63" s="21"/>
      <c r="L63" s="21"/>
      <c r="M63" s="21"/>
      <c r="N63" s="21"/>
      <c r="O63" s="83"/>
      <c r="P63" s="21"/>
      <c r="Q63" s="21"/>
      <c r="R63" s="21"/>
      <c r="S63" s="21"/>
    </row>
    <row r="64" spans="2:19" x14ac:dyDescent="0.35">
      <c r="C64" s="21"/>
      <c r="D64" s="22"/>
      <c r="E64" s="23"/>
      <c r="F64" s="23"/>
      <c r="G64" s="24"/>
      <c r="H64" s="21"/>
      <c r="I64" s="20"/>
      <c r="J64" s="21"/>
      <c r="K64" s="21"/>
      <c r="L64" s="21"/>
      <c r="M64" s="21"/>
      <c r="N64" s="21"/>
      <c r="O64" s="83"/>
      <c r="P64" s="21"/>
      <c r="Q64" s="21"/>
      <c r="R64" s="21"/>
      <c r="S64" s="21"/>
    </row>
    <row r="65" spans="3:19" x14ac:dyDescent="0.35">
      <c r="C65" s="21"/>
      <c r="D65" s="22"/>
      <c r="E65" s="23"/>
      <c r="F65" s="23"/>
      <c r="G65" s="24"/>
      <c r="H65" s="21"/>
      <c r="I65" s="20"/>
      <c r="J65" s="21"/>
      <c r="K65" s="21"/>
      <c r="L65" s="21"/>
      <c r="M65" s="21"/>
      <c r="N65" s="21"/>
      <c r="O65" s="83"/>
      <c r="P65" s="21"/>
      <c r="Q65" s="21"/>
      <c r="R65" s="21"/>
      <c r="S65" s="21"/>
    </row>
    <row r="66" spans="3:19" x14ac:dyDescent="0.35">
      <c r="C66" s="21"/>
      <c r="D66" s="22"/>
      <c r="E66" s="23"/>
      <c r="F66" s="23"/>
      <c r="G66" s="24"/>
      <c r="H66" s="21"/>
      <c r="I66" s="20"/>
      <c r="J66" s="21"/>
      <c r="K66" s="21"/>
      <c r="L66" s="21"/>
      <c r="M66" s="21"/>
      <c r="N66" s="21"/>
      <c r="O66" s="83"/>
      <c r="P66" s="21"/>
      <c r="Q66" s="21"/>
      <c r="R66" s="21"/>
      <c r="S66" s="21"/>
    </row>
    <row r="67" spans="3:19" x14ac:dyDescent="0.35">
      <c r="C67" s="21"/>
      <c r="D67" s="22"/>
      <c r="E67" s="23"/>
      <c r="F67" s="23"/>
      <c r="G67" s="24"/>
      <c r="H67" s="21"/>
      <c r="I67" s="20"/>
      <c r="J67" s="21"/>
      <c r="K67" s="21"/>
      <c r="L67" s="21"/>
      <c r="M67" s="21"/>
      <c r="N67" s="21"/>
      <c r="O67" s="83"/>
      <c r="P67" s="21"/>
      <c r="Q67" s="21"/>
      <c r="R67" s="21"/>
      <c r="S67" s="21"/>
    </row>
    <row r="68" spans="3:19" x14ac:dyDescent="0.35">
      <c r="C68" s="21"/>
      <c r="D68" s="22"/>
      <c r="E68" s="23"/>
      <c r="F68" s="23"/>
      <c r="G68" s="24"/>
      <c r="H68" s="21"/>
      <c r="I68" s="20"/>
      <c r="J68" s="21"/>
      <c r="K68" s="21"/>
      <c r="L68" s="21"/>
      <c r="M68" s="21"/>
      <c r="N68" s="21"/>
      <c r="O68" s="83"/>
      <c r="P68" s="21"/>
      <c r="Q68" s="21"/>
      <c r="R68" s="21"/>
      <c r="S68" s="21"/>
    </row>
    <row r="69" spans="3:19" x14ac:dyDescent="0.35">
      <c r="C69" s="21"/>
      <c r="D69" s="22"/>
      <c r="E69" s="23"/>
      <c r="F69" s="23"/>
      <c r="G69" s="24"/>
      <c r="H69" s="21"/>
      <c r="I69" s="20"/>
      <c r="J69" s="21"/>
      <c r="K69" s="21"/>
      <c r="L69" s="21"/>
      <c r="M69" s="21"/>
      <c r="N69" s="21"/>
      <c r="O69" s="83"/>
      <c r="P69" s="21"/>
      <c r="Q69" s="21"/>
      <c r="R69" s="21"/>
      <c r="S69" s="21"/>
    </row>
    <row r="70" spans="3:19" x14ac:dyDescent="0.35">
      <c r="C70" s="21"/>
      <c r="D70" s="22"/>
      <c r="E70" s="23"/>
      <c r="F70" s="23"/>
      <c r="G70" s="24"/>
      <c r="H70" s="21"/>
      <c r="I70" s="20"/>
      <c r="J70" s="21"/>
      <c r="K70" s="21"/>
      <c r="L70" s="21"/>
      <c r="M70" s="21"/>
      <c r="N70" s="21"/>
      <c r="O70" s="83"/>
      <c r="P70" s="21"/>
      <c r="Q70" s="21"/>
      <c r="R70" s="21"/>
      <c r="S70" s="21"/>
    </row>
    <row r="71" spans="3:19" x14ac:dyDescent="0.35">
      <c r="C71" s="21"/>
      <c r="D71" s="22"/>
      <c r="E71" s="23"/>
      <c r="F71" s="23"/>
      <c r="G71" s="24"/>
      <c r="H71" s="21"/>
      <c r="I71" s="20"/>
      <c r="J71" s="21"/>
      <c r="K71" s="21"/>
      <c r="L71" s="21"/>
      <c r="M71" s="21"/>
      <c r="N71" s="21"/>
      <c r="O71" s="83"/>
      <c r="P71" s="21"/>
      <c r="Q71" s="21"/>
      <c r="R71" s="21"/>
      <c r="S71" s="21"/>
    </row>
    <row r="72" spans="3:19" x14ac:dyDescent="0.35">
      <c r="C72" s="21"/>
      <c r="D72" s="22"/>
      <c r="E72" s="23"/>
      <c r="F72" s="23"/>
      <c r="G72" s="24"/>
      <c r="H72" s="21"/>
      <c r="I72" s="20"/>
      <c r="J72" s="21"/>
      <c r="K72" s="21"/>
      <c r="L72" s="21"/>
      <c r="M72" s="21"/>
      <c r="N72" s="21"/>
      <c r="O72" s="83"/>
      <c r="P72" s="21"/>
      <c r="Q72" s="21"/>
      <c r="R72" s="21"/>
      <c r="S72" s="21"/>
    </row>
    <row r="73" spans="3:19" x14ac:dyDescent="0.35">
      <c r="C73" s="21"/>
      <c r="D73" s="22"/>
      <c r="E73" s="23"/>
      <c r="F73" s="23"/>
      <c r="G73" s="24"/>
      <c r="H73" s="21"/>
      <c r="I73" s="20"/>
      <c r="J73" s="21"/>
      <c r="K73" s="21"/>
      <c r="L73" s="21"/>
      <c r="M73" s="21"/>
      <c r="N73" s="21"/>
      <c r="O73" s="83"/>
      <c r="P73" s="21"/>
      <c r="Q73" s="21"/>
      <c r="R73" s="21"/>
      <c r="S73" s="21"/>
    </row>
    <row r="74" spans="3:19" x14ac:dyDescent="0.35">
      <c r="C74" s="21"/>
      <c r="D74" s="22"/>
      <c r="E74" s="23"/>
      <c r="F74" s="23"/>
      <c r="G74" s="24"/>
      <c r="H74" s="21"/>
      <c r="I74" s="20"/>
      <c r="J74" s="21"/>
      <c r="K74" s="21"/>
      <c r="L74" s="21"/>
      <c r="M74" s="21"/>
      <c r="N74" s="21"/>
      <c r="O74" s="83"/>
      <c r="P74" s="21"/>
      <c r="Q74" s="21"/>
      <c r="R74" s="21"/>
      <c r="S74" s="21"/>
    </row>
    <row r="75" spans="3:19" x14ac:dyDescent="0.35">
      <c r="C75" s="21"/>
      <c r="D75" s="22"/>
      <c r="E75" s="23"/>
      <c r="F75" s="23"/>
      <c r="G75" s="24"/>
      <c r="H75" s="21"/>
      <c r="I75" s="20"/>
      <c r="J75" s="21"/>
      <c r="K75" s="21"/>
      <c r="L75" s="21"/>
      <c r="M75" s="21"/>
      <c r="N75" s="21"/>
      <c r="O75" s="83"/>
      <c r="P75" s="21"/>
      <c r="Q75" s="21"/>
      <c r="R75" s="21"/>
      <c r="S75" s="21"/>
    </row>
    <row r="76" spans="3:19" x14ac:dyDescent="0.35">
      <c r="C76" s="21"/>
      <c r="D76" s="22"/>
      <c r="E76" s="23"/>
      <c r="F76" s="23"/>
      <c r="G76" s="24"/>
      <c r="H76" s="21"/>
      <c r="I76" s="20"/>
      <c r="J76" s="21"/>
      <c r="K76" s="21"/>
      <c r="L76" s="21"/>
      <c r="M76" s="21"/>
      <c r="N76" s="21"/>
      <c r="O76" s="83"/>
      <c r="P76" s="21"/>
      <c r="Q76" s="21"/>
      <c r="R76" s="21"/>
      <c r="S76" s="21"/>
    </row>
    <row r="77" spans="3:19" x14ac:dyDescent="0.35">
      <c r="C77" s="21"/>
      <c r="D77" s="22"/>
      <c r="E77" s="23"/>
      <c r="F77" s="23"/>
      <c r="G77" s="24"/>
      <c r="H77" s="21"/>
      <c r="I77" s="20"/>
      <c r="J77" s="21"/>
      <c r="K77" s="21"/>
      <c r="L77" s="21"/>
      <c r="M77" s="21"/>
      <c r="N77" s="21"/>
      <c r="O77" s="83"/>
      <c r="P77" s="21"/>
      <c r="Q77" s="21"/>
      <c r="R77" s="21"/>
      <c r="S77" s="21"/>
    </row>
    <row r="78" spans="3:19" x14ac:dyDescent="0.35">
      <c r="C78" s="21"/>
      <c r="D78" s="22"/>
      <c r="E78" s="23"/>
      <c r="F78" s="23"/>
      <c r="G78" s="24"/>
      <c r="H78" s="21"/>
      <c r="I78" s="20"/>
      <c r="J78" s="21"/>
      <c r="K78" s="21"/>
      <c r="L78" s="21"/>
      <c r="M78" s="21"/>
      <c r="N78" s="21"/>
      <c r="O78" s="83"/>
      <c r="P78" s="21"/>
      <c r="Q78" s="21"/>
      <c r="R78" s="21"/>
      <c r="S78" s="21"/>
    </row>
    <row r="79" spans="3:19" x14ac:dyDescent="0.35">
      <c r="C79" s="21"/>
      <c r="D79" s="22"/>
      <c r="E79" s="23"/>
      <c r="F79" s="23"/>
      <c r="G79" s="24"/>
      <c r="H79" s="21"/>
      <c r="I79" s="20"/>
      <c r="J79" s="21"/>
      <c r="K79" s="21"/>
      <c r="L79" s="21"/>
      <c r="M79" s="21"/>
      <c r="N79" s="21"/>
      <c r="O79" s="83"/>
      <c r="P79" s="21"/>
      <c r="Q79" s="21"/>
      <c r="R79" s="21"/>
      <c r="S79" s="21"/>
    </row>
    <row r="80" spans="3:19" x14ac:dyDescent="0.35">
      <c r="C80" s="21"/>
      <c r="D80" s="22"/>
      <c r="E80" s="23"/>
      <c r="F80" s="23"/>
      <c r="G80" s="24"/>
      <c r="H80" s="21"/>
      <c r="I80" s="20"/>
      <c r="J80" s="21"/>
      <c r="K80" s="21"/>
      <c r="L80" s="21"/>
      <c r="M80" s="21"/>
      <c r="N80" s="21"/>
      <c r="O80" s="83"/>
      <c r="P80" s="21"/>
      <c r="Q80" s="21"/>
      <c r="R80" s="21"/>
      <c r="S80" s="21"/>
    </row>
    <row r="81" spans="3:19" x14ac:dyDescent="0.35">
      <c r="C81" s="21"/>
      <c r="D81" s="22"/>
      <c r="E81" s="23"/>
      <c r="F81" s="23"/>
      <c r="G81" s="24"/>
      <c r="H81" s="21"/>
      <c r="I81" s="20"/>
      <c r="J81" s="21"/>
      <c r="K81" s="21"/>
      <c r="L81" s="21"/>
      <c r="M81" s="21"/>
      <c r="N81" s="21"/>
      <c r="O81" s="83"/>
      <c r="P81" s="21"/>
      <c r="Q81" s="21"/>
      <c r="R81" s="21"/>
      <c r="S81" s="21"/>
    </row>
    <row r="82" spans="3:19" x14ac:dyDescent="0.35">
      <c r="C82" s="21"/>
      <c r="D82" s="22"/>
      <c r="E82" s="23"/>
      <c r="F82" s="23"/>
      <c r="G82" s="24"/>
      <c r="H82" s="21"/>
      <c r="I82" s="20"/>
      <c r="J82" s="21"/>
      <c r="K82" s="21"/>
      <c r="L82" s="21"/>
      <c r="M82" s="21"/>
      <c r="N82" s="21"/>
      <c r="O82" s="83"/>
      <c r="P82" s="21"/>
      <c r="Q82" s="21"/>
      <c r="R82" s="21"/>
      <c r="S82" s="21"/>
    </row>
    <row r="83" spans="3:19" x14ac:dyDescent="0.35">
      <c r="C83" s="21"/>
      <c r="D83" s="22"/>
      <c r="E83" s="23"/>
      <c r="F83" s="23"/>
      <c r="G83" s="24"/>
      <c r="H83" s="21"/>
      <c r="I83" s="20"/>
      <c r="J83" s="21"/>
      <c r="K83" s="21"/>
      <c r="L83" s="21"/>
      <c r="M83" s="21"/>
      <c r="N83" s="21"/>
      <c r="O83" s="83"/>
      <c r="P83" s="21"/>
      <c r="Q83" s="21"/>
      <c r="R83" s="21"/>
      <c r="S83" s="21"/>
    </row>
    <row r="84" spans="3:19" x14ac:dyDescent="0.35">
      <c r="C84" s="21"/>
      <c r="D84" s="22"/>
      <c r="E84" s="23"/>
      <c r="F84" s="23"/>
      <c r="G84" s="24"/>
      <c r="H84" s="21"/>
      <c r="I84" s="20"/>
      <c r="J84" s="21"/>
      <c r="K84" s="21"/>
      <c r="L84" s="21"/>
      <c r="M84" s="21"/>
      <c r="N84" s="21"/>
      <c r="O84" s="83"/>
      <c r="P84" s="21"/>
      <c r="Q84" s="21"/>
      <c r="R84" s="21"/>
      <c r="S84" s="21"/>
    </row>
    <row r="85" spans="3:19" x14ac:dyDescent="0.35">
      <c r="C85" s="21"/>
      <c r="D85" s="22"/>
      <c r="E85" s="23"/>
      <c r="F85" s="23"/>
      <c r="G85" s="24"/>
      <c r="H85" s="21"/>
      <c r="I85" s="20"/>
      <c r="J85" s="21"/>
      <c r="K85" s="21"/>
      <c r="L85" s="21"/>
      <c r="M85" s="21"/>
      <c r="N85" s="21"/>
      <c r="O85" s="83"/>
      <c r="P85" s="21"/>
      <c r="Q85" s="21"/>
      <c r="R85" s="21"/>
      <c r="S85" s="21"/>
    </row>
    <row r="86" spans="3:19" x14ac:dyDescent="0.35">
      <c r="C86" s="21"/>
      <c r="D86" s="22"/>
      <c r="E86" s="23"/>
      <c r="F86" s="23"/>
      <c r="G86" s="24"/>
      <c r="H86" s="21"/>
      <c r="I86" s="20"/>
      <c r="J86" s="21"/>
      <c r="K86" s="21"/>
      <c r="L86" s="21"/>
      <c r="M86" s="21"/>
      <c r="N86" s="21"/>
      <c r="O86" s="83"/>
      <c r="P86" s="21"/>
      <c r="Q86" s="21"/>
      <c r="R86" s="21"/>
      <c r="S86" s="21"/>
    </row>
    <row r="87" spans="3:19" x14ac:dyDescent="0.35">
      <c r="C87" s="21"/>
      <c r="D87" s="22"/>
      <c r="E87" s="23"/>
      <c r="F87" s="23"/>
      <c r="G87" s="24"/>
      <c r="H87" s="21"/>
      <c r="I87" s="20"/>
      <c r="J87" s="21"/>
      <c r="K87" s="21"/>
      <c r="L87" s="21"/>
      <c r="M87" s="21"/>
      <c r="N87" s="21"/>
      <c r="O87" s="83"/>
      <c r="P87" s="21"/>
      <c r="Q87" s="21"/>
      <c r="R87" s="21"/>
      <c r="S87" s="21"/>
    </row>
    <row r="88" spans="3:19" x14ac:dyDescent="0.35">
      <c r="C88" s="21"/>
      <c r="D88" s="22"/>
      <c r="E88" s="23"/>
      <c r="F88" s="23"/>
      <c r="G88" s="24"/>
      <c r="H88" s="21"/>
      <c r="I88" s="20"/>
      <c r="J88" s="21"/>
      <c r="K88" s="21"/>
      <c r="L88" s="21"/>
      <c r="M88" s="21"/>
      <c r="N88" s="21"/>
      <c r="O88" s="83"/>
      <c r="P88" s="21"/>
      <c r="Q88" s="21"/>
      <c r="R88" s="21"/>
      <c r="S88" s="21"/>
    </row>
    <row r="89" spans="3:19" x14ac:dyDescent="0.35">
      <c r="C89" s="21"/>
      <c r="D89" s="22"/>
      <c r="E89" s="23"/>
      <c r="F89" s="23"/>
      <c r="G89" s="24"/>
      <c r="H89" s="21"/>
      <c r="I89" s="20"/>
      <c r="J89" s="21"/>
      <c r="K89" s="21"/>
      <c r="L89" s="21"/>
      <c r="M89" s="21"/>
      <c r="N89" s="21"/>
      <c r="O89" s="83"/>
      <c r="P89" s="21"/>
      <c r="Q89" s="21"/>
      <c r="R89" s="21"/>
      <c r="S89" s="21"/>
    </row>
    <row r="90" spans="3:19" x14ac:dyDescent="0.35">
      <c r="C90" s="21"/>
      <c r="D90" s="22"/>
      <c r="E90" s="23"/>
      <c r="F90" s="23"/>
      <c r="G90" s="24"/>
      <c r="H90" s="21"/>
      <c r="I90" s="20"/>
      <c r="J90" s="21"/>
      <c r="K90" s="21"/>
      <c r="L90" s="21"/>
      <c r="M90" s="21"/>
      <c r="N90" s="21"/>
      <c r="O90" s="83"/>
      <c r="P90" s="21"/>
      <c r="Q90" s="21"/>
      <c r="R90" s="21"/>
      <c r="S90" s="21"/>
    </row>
    <row r="91" spans="3:19" x14ac:dyDescent="0.35">
      <c r="C91" s="21"/>
      <c r="D91" s="22"/>
      <c r="E91" s="23"/>
      <c r="F91" s="23"/>
      <c r="G91" s="24"/>
      <c r="H91" s="21"/>
      <c r="I91" s="20"/>
      <c r="J91" s="21"/>
      <c r="K91" s="21"/>
      <c r="L91" s="21"/>
      <c r="M91" s="21"/>
      <c r="N91" s="21"/>
      <c r="O91" s="83"/>
      <c r="P91" s="21"/>
      <c r="Q91" s="21"/>
      <c r="R91" s="21"/>
      <c r="S91" s="21"/>
    </row>
    <row r="92" spans="3:19" x14ac:dyDescent="0.35">
      <c r="C92" s="21"/>
      <c r="D92" s="22"/>
      <c r="E92" s="23"/>
      <c r="F92" s="23"/>
      <c r="G92" s="24"/>
      <c r="H92" s="21"/>
      <c r="I92" s="20"/>
      <c r="J92" s="21"/>
      <c r="K92" s="21"/>
      <c r="L92" s="21"/>
      <c r="M92" s="21"/>
      <c r="N92" s="21"/>
      <c r="O92" s="83"/>
      <c r="P92" s="21"/>
      <c r="Q92" s="21"/>
      <c r="R92" s="21"/>
      <c r="S92" s="21"/>
    </row>
    <row r="93" spans="3:19" x14ac:dyDescent="0.35">
      <c r="C93" s="21"/>
      <c r="D93" s="22"/>
      <c r="E93" s="23"/>
      <c r="F93" s="23"/>
      <c r="G93" s="24"/>
      <c r="H93" s="21"/>
      <c r="I93" s="20"/>
      <c r="J93" s="21"/>
      <c r="K93" s="21"/>
      <c r="L93" s="21"/>
      <c r="M93" s="21"/>
      <c r="N93" s="21"/>
      <c r="O93" s="83"/>
      <c r="P93" s="21"/>
      <c r="Q93" s="21"/>
      <c r="R93" s="21"/>
      <c r="S93" s="21"/>
    </row>
    <row r="94" spans="3:19" x14ac:dyDescent="0.35">
      <c r="C94" s="21"/>
      <c r="D94" s="22"/>
      <c r="E94" s="23"/>
      <c r="F94" s="23"/>
      <c r="G94" s="24"/>
      <c r="H94" s="21"/>
      <c r="I94" s="20"/>
      <c r="J94" s="21"/>
      <c r="K94" s="21"/>
      <c r="L94" s="21"/>
      <c r="M94" s="21"/>
      <c r="N94" s="21"/>
      <c r="O94" s="83"/>
      <c r="P94" s="21"/>
      <c r="Q94" s="21"/>
      <c r="R94" s="21"/>
      <c r="S94" s="21"/>
    </row>
    <row r="95" spans="3:19" x14ac:dyDescent="0.35">
      <c r="C95" s="21"/>
      <c r="D95" s="22"/>
      <c r="E95" s="23"/>
      <c r="F95" s="23"/>
      <c r="G95" s="24"/>
      <c r="H95" s="21"/>
      <c r="I95" s="20"/>
      <c r="J95" s="21"/>
      <c r="K95" s="21"/>
      <c r="L95" s="21"/>
      <c r="M95" s="21"/>
      <c r="N95" s="21"/>
      <c r="O95" s="83"/>
      <c r="P95" s="21"/>
      <c r="Q95" s="21"/>
      <c r="R95" s="21"/>
      <c r="S95" s="21"/>
    </row>
    <row r="96" spans="3:19" x14ac:dyDescent="0.35">
      <c r="C96" s="21"/>
      <c r="D96" s="22"/>
      <c r="E96" s="23"/>
      <c r="F96" s="23"/>
      <c r="G96" s="24"/>
      <c r="H96" s="21"/>
      <c r="I96" s="20"/>
      <c r="J96" s="21"/>
      <c r="K96" s="21"/>
      <c r="L96" s="21"/>
      <c r="M96" s="21"/>
      <c r="N96" s="21"/>
      <c r="O96" s="83"/>
      <c r="P96" s="21"/>
      <c r="Q96" s="21"/>
      <c r="R96" s="21"/>
      <c r="S96" s="21"/>
    </row>
    <row r="97" spans="2:19" x14ac:dyDescent="0.35">
      <c r="C97" s="21"/>
      <c r="D97" s="22"/>
      <c r="E97" s="23"/>
      <c r="F97" s="23"/>
      <c r="G97" s="24"/>
      <c r="H97" s="21"/>
      <c r="I97" s="20"/>
      <c r="J97" s="21"/>
      <c r="K97" s="21"/>
      <c r="L97" s="21"/>
      <c r="M97" s="21"/>
      <c r="N97" s="21"/>
      <c r="O97" s="83"/>
      <c r="P97" s="21"/>
      <c r="Q97" s="21"/>
      <c r="R97" s="21"/>
      <c r="S97" s="21"/>
    </row>
    <row r="98" spans="2:19" x14ac:dyDescent="0.35">
      <c r="C98" s="21"/>
      <c r="D98" s="22"/>
      <c r="E98" s="23"/>
      <c r="F98" s="23"/>
      <c r="G98" s="24"/>
      <c r="H98" s="21"/>
      <c r="I98" s="20"/>
      <c r="J98" s="21"/>
      <c r="K98" s="21"/>
      <c r="L98" s="21"/>
      <c r="M98" s="21"/>
      <c r="N98" s="21"/>
      <c r="O98" s="83"/>
      <c r="P98" s="21"/>
      <c r="Q98" s="21"/>
      <c r="R98" s="21"/>
      <c r="S98" s="21"/>
    </row>
    <row r="99" spans="2:19" x14ac:dyDescent="0.35">
      <c r="C99" s="21"/>
      <c r="D99" s="22"/>
      <c r="E99" s="23"/>
      <c r="F99" s="23"/>
      <c r="G99" s="24"/>
      <c r="H99" s="21"/>
      <c r="I99" s="20"/>
      <c r="J99" s="21"/>
      <c r="K99" s="21"/>
      <c r="L99" s="21"/>
      <c r="M99" s="21"/>
      <c r="N99" s="21"/>
      <c r="O99" s="83"/>
      <c r="P99" s="21"/>
      <c r="Q99" s="21"/>
      <c r="R99" s="21"/>
      <c r="S99" s="21"/>
    </row>
    <row r="100" spans="2:19" x14ac:dyDescent="0.35">
      <c r="C100" s="21"/>
      <c r="D100" s="22"/>
      <c r="E100" s="23"/>
      <c r="F100" s="23"/>
      <c r="G100" s="24"/>
      <c r="H100" s="21"/>
      <c r="I100" s="20"/>
      <c r="J100" s="21"/>
      <c r="K100" s="21"/>
      <c r="L100" s="21"/>
      <c r="M100" s="21"/>
      <c r="N100" s="21"/>
      <c r="O100" s="83"/>
      <c r="P100" s="21"/>
      <c r="Q100" s="21"/>
      <c r="R100" s="21"/>
      <c r="S100" s="21"/>
    </row>
    <row r="101" spans="2:19" x14ac:dyDescent="0.35">
      <c r="C101" s="21"/>
      <c r="D101" s="22"/>
      <c r="E101" s="23"/>
      <c r="F101" s="23"/>
      <c r="G101" s="24"/>
      <c r="H101" s="21"/>
      <c r="I101" s="20"/>
      <c r="J101" s="21"/>
      <c r="K101" s="21"/>
      <c r="L101" s="21"/>
      <c r="M101" s="21"/>
      <c r="N101" s="21"/>
      <c r="O101" s="83"/>
      <c r="P101" s="21"/>
      <c r="Q101" s="21"/>
      <c r="R101" s="21"/>
      <c r="S101" s="21"/>
    </row>
    <row r="102" spans="2:19" x14ac:dyDescent="0.35">
      <c r="C102" s="21"/>
      <c r="D102" s="22"/>
      <c r="E102" s="23"/>
      <c r="F102" s="23"/>
      <c r="G102" s="24"/>
      <c r="H102" s="21"/>
      <c r="I102" s="20"/>
      <c r="J102" s="21"/>
      <c r="K102" s="21"/>
      <c r="L102" s="21"/>
      <c r="M102" s="21"/>
      <c r="N102" s="21"/>
      <c r="O102" s="83"/>
      <c r="P102" s="21"/>
      <c r="Q102" s="21"/>
      <c r="R102" s="21"/>
      <c r="S102" s="21"/>
    </row>
    <row r="103" spans="2:19" x14ac:dyDescent="0.35">
      <c r="C103" s="21"/>
      <c r="D103" s="22"/>
      <c r="E103" s="23"/>
      <c r="F103" s="23"/>
      <c r="G103" s="24"/>
      <c r="H103" s="21"/>
      <c r="I103" s="20"/>
      <c r="J103" s="21"/>
      <c r="K103" s="21"/>
      <c r="L103" s="21"/>
      <c r="M103" s="21"/>
      <c r="N103" s="21"/>
      <c r="O103" s="83"/>
      <c r="P103" s="21"/>
      <c r="Q103" s="21"/>
      <c r="R103" s="21"/>
      <c r="S103" s="21"/>
    </row>
    <row r="104" spans="2:19" x14ac:dyDescent="0.35">
      <c r="C104" s="21"/>
      <c r="D104" s="22"/>
      <c r="E104" s="23"/>
      <c r="F104" s="23"/>
      <c r="G104" s="24"/>
      <c r="H104" s="21"/>
      <c r="I104" s="20"/>
      <c r="J104" s="21"/>
      <c r="K104" s="21"/>
      <c r="L104" s="21"/>
      <c r="M104" s="21"/>
      <c r="N104" s="21"/>
      <c r="O104" s="83"/>
      <c r="P104" s="21"/>
      <c r="Q104" s="21"/>
      <c r="R104" s="21"/>
      <c r="S104" s="21"/>
    </row>
    <row r="105" spans="2:19" x14ac:dyDescent="0.35">
      <c r="C105" s="21"/>
      <c r="D105" s="22"/>
      <c r="E105" s="23"/>
      <c r="F105" s="23"/>
      <c r="G105" s="24"/>
      <c r="H105" s="21"/>
      <c r="I105" s="20"/>
      <c r="J105" s="21"/>
      <c r="K105" s="21"/>
      <c r="L105" s="21"/>
      <c r="M105" s="21"/>
      <c r="N105" s="21"/>
      <c r="O105" s="83"/>
      <c r="P105" s="21"/>
      <c r="Q105" s="21"/>
      <c r="R105" s="21"/>
      <c r="S105" s="21"/>
    </row>
    <row r="106" spans="2:19" x14ac:dyDescent="0.35">
      <c r="C106" s="21"/>
      <c r="D106" s="22"/>
      <c r="E106" s="23"/>
      <c r="F106" s="23"/>
      <c r="G106" s="24"/>
      <c r="H106" s="21"/>
      <c r="I106" s="20"/>
      <c r="J106" s="21"/>
      <c r="K106" s="21"/>
      <c r="L106" s="21"/>
      <c r="M106" s="21"/>
      <c r="N106" s="21"/>
      <c r="O106" s="83"/>
      <c r="P106" s="21"/>
      <c r="Q106" s="21"/>
      <c r="R106" s="21"/>
      <c r="S106" s="21"/>
    </row>
    <row r="107" spans="2:19" x14ac:dyDescent="0.35">
      <c r="C107" s="21"/>
      <c r="D107" s="22"/>
      <c r="E107" s="23"/>
      <c r="F107" s="23"/>
      <c r="G107" s="24"/>
      <c r="H107" s="21"/>
      <c r="I107" s="20"/>
      <c r="J107" s="21"/>
      <c r="K107" s="21"/>
      <c r="L107" s="21"/>
      <c r="M107" s="21"/>
      <c r="N107" s="21"/>
      <c r="O107" s="83"/>
      <c r="P107" s="21"/>
      <c r="Q107" s="21"/>
      <c r="R107" s="21"/>
      <c r="S107" s="21"/>
    </row>
    <row r="108" spans="2:19" x14ac:dyDescent="0.35">
      <c r="B108" s="21"/>
      <c r="C108" s="21"/>
      <c r="D108" s="22"/>
      <c r="E108" s="23"/>
      <c r="F108" s="23"/>
      <c r="G108" s="24"/>
      <c r="H108" s="21"/>
      <c r="I108" s="20"/>
      <c r="J108" s="21"/>
      <c r="K108" s="21"/>
      <c r="L108" s="21"/>
      <c r="M108" s="21"/>
      <c r="N108" s="21"/>
      <c r="O108" s="83"/>
      <c r="P108" s="21"/>
      <c r="Q108" s="21"/>
      <c r="R108" s="21"/>
      <c r="S108" s="21"/>
    </row>
    <row r="109" spans="2:19" x14ac:dyDescent="0.35">
      <c r="B109" s="21"/>
      <c r="C109" s="21"/>
      <c r="D109" s="22"/>
      <c r="E109" s="23"/>
      <c r="F109" s="23"/>
      <c r="G109" s="24"/>
      <c r="H109" s="21"/>
      <c r="I109" s="20"/>
      <c r="J109" s="21"/>
      <c r="K109" s="21"/>
      <c r="L109" s="21"/>
      <c r="M109" s="21"/>
      <c r="N109" s="21"/>
      <c r="O109" s="83"/>
      <c r="P109" s="21"/>
      <c r="Q109" s="21"/>
      <c r="R109" s="21"/>
      <c r="S109" s="21"/>
    </row>
    <row r="110" spans="2:19" x14ac:dyDescent="0.35">
      <c r="B110" s="21"/>
      <c r="C110" s="21"/>
      <c r="D110" s="22"/>
      <c r="E110" s="23"/>
      <c r="F110" s="23"/>
      <c r="G110" s="24"/>
      <c r="H110" s="21"/>
      <c r="I110" s="20"/>
      <c r="J110" s="21"/>
      <c r="K110" s="21"/>
      <c r="L110" s="21"/>
      <c r="M110" s="21"/>
      <c r="N110" s="21"/>
      <c r="O110" s="83"/>
      <c r="P110" s="21"/>
      <c r="Q110" s="21"/>
      <c r="R110" s="21"/>
      <c r="S110" s="21"/>
    </row>
    <row r="111" spans="2:19" x14ac:dyDescent="0.35">
      <c r="B111" s="21"/>
      <c r="C111" s="21"/>
      <c r="D111" s="22"/>
      <c r="E111" s="23"/>
      <c r="F111" s="23"/>
      <c r="G111" s="24"/>
      <c r="H111" s="21"/>
      <c r="I111" s="20"/>
      <c r="J111" s="21"/>
      <c r="K111" s="21"/>
      <c r="L111" s="21"/>
      <c r="M111" s="21"/>
      <c r="N111" s="21"/>
      <c r="O111" s="83"/>
      <c r="P111" s="21"/>
      <c r="Q111" s="21"/>
      <c r="R111" s="21"/>
      <c r="S111" s="21"/>
    </row>
    <row r="112" spans="2:19" x14ac:dyDescent="0.35">
      <c r="B112" s="21"/>
      <c r="C112" s="21"/>
      <c r="D112" s="22"/>
      <c r="E112" s="23"/>
      <c r="F112" s="23"/>
      <c r="G112" s="24"/>
      <c r="H112" s="21"/>
      <c r="I112" s="20"/>
      <c r="J112" s="21"/>
      <c r="K112" s="21"/>
      <c r="L112" s="21"/>
      <c r="M112" s="21"/>
      <c r="N112" s="21"/>
      <c r="O112" s="83"/>
      <c r="P112" s="21"/>
      <c r="Q112" s="21"/>
      <c r="R112" s="21"/>
      <c r="S112" s="21"/>
    </row>
    <row r="113" spans="2:19" x14ac:dyDescent="0.35">
      <c r="B113" s="21"/>
      <c r="C113" s="21"/>
      <c r="D113" s="22"/>
      <c r="E113" s="23"/>
      <c r="F113" s="23"/>
      <c r="G113" s="24"/>
      <c r="H113" s="21"/>
      <c r="I113" s="20"/>
      <c r="J113" s="21"/>
      <c r="K113" s="21"/>
      <c r="L113" s="21"/>
      <c r="M113" s="21"/>
      <c r="N113" s="21"/>
      <c r="O113" s="83"/>
      <c r="P113" s="21"/>
      <c r="Q113" s="21"/>
      <c r="R113" s="21"/>
      <c r="S113" s="21"/>
    </row>
    <row r="114" spans="2:19" x14ac:dyDescent="0.35">
      <c r="B114" s="21"/>
      <c r="C114" s="21"/>
      <c r="D114" s="22"/>
      <c r="E114" s="23"/>
      <c r="F114" s="23"/>
      <c r="G114" s="24"/>
      <c r="H114" s="21"/>
      <c r="I114" s="20"/>
      <c r="J114" s="21"/>
      <c r="K114" s="21"/>
      <c r="L114" s="21"/>
      <c r="M114" s="21"/>
      <c r="N114" s="21"/>
      <c r="O114" s="83"/>
      <c r="P114" s="21"/>
      <c r="Q114" s="21"/>
      <c r="R114" s="21"/>
      <c r="S114" s="21"/>
    </row>
    <row r="115" spans="2:19" x14ac:dyDescent="0.35">
      <c r="B115" s="21"/>
      <c r="C115" s="21"/>
      <c r="D115" s="22"/>
      <c r="E115" s="23"/>
      <c r="F115" s="23"/>
      <c r="G115" s="24"/>
      <c r="H115" s="21"/>
      <c r="I115" s="20"/>
      <c r="J115" s="21"/>
      <c r="K115" s="21"/>
      <c r="L115" s="21"/>
      <c r="M115" s="21"/>
      <c r="N115" s="21"/>
      <c r="O115" s="83"/>
      <c r="P115" s="21"/>
      <c r="Q115" s="21"/>
      <c r="R115" s="21"/>
      <c r="S115" s="21"/>
    </row>
    <row r="116" spans="2:19" x14ac:dyDescent="0.35">
      <c r="B116" s="21"/>
      <c r="C116" s="21"/>
      <c r="D116" s="22"/>
      <c r="E116" s="23"/>
      <c r="F116" s="23"/>
      <c r="G116" s="24"/>
      <c r="H116" s="21"/>
      <c r="I116" s="20"/>
      <c r="J116" s="21"/>
      <c r="K116" s="21"/>
      <c r="L116" s="21"/>
      <c r="M116" s="21"/>
      <c r="N116" s="21"/>
      <c r="O116" s="83"/>
      <c r="P116" s="21"/>
      <c r="Q116" s="21"/>
      <c r="R116" s="21"/>
      <c r="S116" s="21"/>
    </row>
    <row r="117" spans="2:19" x14ac:dyDescent="0.35">
      <c r="B117" s="21"/>
      <c r="C117" s="21"/>
      <c r="D117" s="22"/>
      <c r="E117" s="23"/>
      <c r="F117" s="23"/>
      <c r="G117" s="24"/>
      <c r="H117" s="21"/>
      <c r="I117" s="20"/>
      <c r="J117" s="21"/>
      <c r="K117" s="21"/>
      <c r="L117" s="21"/>
      <c r="M117" s="21"/>
      <c r="N117" s="21"/>
      <c r="O117" s="83"/>
      <c r="P117" s="21"/>
      <c r="Q117" s="21"/>
      <c r="R117" s="21"/>
      <c r="S117" s="21"/>
    </row>
    <row r="118" spans="2:19" x14ac:dyDescent="0.35">
      <c r="B118" s="21"/>
      <c r="C118" s="21"/>
      <c r="D118" s="22"/>
      <c r="E118" s="23"/>
      <c r="F118" s="23"/>
      <c r="G118" s="24"/>
      <c r="H118" s="21"/>
      <c r="I118" s="20"/>
      <c r="J118" s="21"/>
      <c r="K118" s="21"/>
      <c r="L118" s="21"/>
      <c r="M118" s="21"/>
      <c r="N118" s="21"/>
      <c r="O118" s="83"/>
      <c r="P118" s="21"/>
      <c r="Q118" s="21"/>
      <c r="R118" s="21"/>
      <c r="S118" s="21"/>
    </row>
    <row r="119" spans="2:19" x14ac:dyDescent="0.35">
      <c r="B119" s="21"/>
      <c r="C119" s="21"/>
      <c r="D119" s="22"/>
      <c r="E119" s="23"/>
      <c r="F119" s="23"/>
      <c r="G119" s="24"/>
      <c r="H119" s="21"/>
      <c r="I119" s="20"/>
      <c r="J119" s="21"/>
      <c r="K119" s="21"/>
      <c r="L119" s="21"/>
      <c r="M119" s="21"/>
      <c r="N119" s="21"/>
      <c r="O119" s="83"/>
      <c r="P119" s="21"/>
      <c r="Q119" s="21"/>
      <c r="R119" s="21"/>
      <c r="S119" s="21"/>
    </row>
    <row r="120" spans="2:19" x14ac:dyDescent="0.35">
      <c r="B120" s="21"/>
      <c r="C120" s="21"/>
      <c r="D120" s="22"/>
      <c r="E120" s="23"/>
      <c r="F120" s="23"/>
      <c r="G120" s="24"/>
      <c r="H120" s="21"/>
      <c r="I120" s="20"/>
      <c r="J120" s="21"/>
      <c r="K120" s="21"/>
      <c r="L120" s="21"/>
      <c r="M120" s="21"/>
      <c r="N120" s="21"/>
      <c r="O120" s="83"/>
      <c r="P120" s="21"/>
      <c r="Q120" s="21"/>
      <c r="R120" s="21"/>
      <c r="S120" s="21"/>
    </row>
    <row r="121" spans="2:19" x14ac:dyDescent="0.35">
      <c r="B121" s="21"/>
      <c r="C121" s="21"/>
      <c r="D121" s="22"/>
      <c r="E121" s="23"/>
      <c r="F121" s="23"/>
      <c r="G121" s="24"/>
      <c r="H121" s="21"/>
      <c r="I121" s="20"/>
      <c r="J121" s="21"/>
      <c r="K121" s="21"/>
      <c r="L121" s="21"/>
      <c r="M121" s="21"/>
      <c r="N121" s="21"/>
      <c r="O121" s="83"/>
      <c r="P121" s="21"/>
      <c r="Q121" s="21"/>
      <c r="R121" s="21"/>
      <c r="S121" s="21"/>
    </row>
    <row r="122" spans="2:19" x14ac:dyDescent="0.35">
      <c r="B122" s="21"/>
      <c r="C122" s="21"/>
      <c r="D122" s="22"/>
      <c r="E122" s="23"/>
      <c r="F122" s="23"/>
      <c r="G122" s="24"/>
      <c r="H122" s="21"/>
      <c r="I122" s="20"/>
      <c r="J122" s="21"/>
      <c r="K122" s="21"/>
      <c r="L122" s="21"/>
      <c r="M122" s="21"/>
      <c r="N122" s="21"/>
      <c r="O122" s="83"/>
      <c r="P122" s="21"/>
      <c r="Q122" s="21"/>
      <c r="R122" s="21"/>
      <c r="S122" s="21"/>
    </row>
    <row r="123" spans="2:19" x14ac:dyDescent="0.35">
      <c r="B123" s="21"/>
      <c r="C123" s="21"/>
      <c r="D123" s="22"/>
      <c r="E123" s="23"/>
      <c r="F123" s="23"/>
      <c r="G123" s="24"/>
      <c r="H123" s="21"/>
      <c r="I123" s="20"/>
      <c r="J123" s="21"/>
      <c r="K123" s="21"/>
      <c r="L123" s="21"/>
      <c r="M123" s="21"/>
      <c r="N123" s="21"/>
      <c r="O123" s="83"/>
      <c r="P123" s="21"/>
      <c r="Q123" s="21"/>
      <c r="R123" s="21"/>
      <c r="S123" s="21"/>
    </row>
    <row r="124" spans="2:19" x14ac:dyDescent="0.35">
      <c r="B124" s="21"/>
      <c r="C124" s="21"/>
      <c r="D124" s="22"/>
      <c r="E124" s="23"/>
      <c r="F124" s="23"/>
      <c r="G124" s="24"/>
      <c r="H124" s="21"/>
      <c r="I124" s="20"/>
      <c r="J124" s="21"/>
      <c r="K124" s="21"/>
      <c r="L124" s="21"/>
      <c r="M124" s="21"/>
      <c r="N124" s="21"/>
      <c r="O124" s="83"/>
      <c r="P124" s="21"/>
      <c r="Q124" s="21"/>
      <c r="R124" s="21"/>
      <c r="S124" s="21"/>
    </row>
    <row r="125" spans="2:19" x14ac:dyDescent="0.35">
      <c r="B125" s="21"/>
      <c r="C125" s="21"/>
      <c r="D125" s="22"/>
      <c r="E125" s="23"/>
      <c r="F125" s="23"/>
      <c r="G125" s="24"/>
      <c r="H125" s="21"/>
      <c r="I125" s="20"/>
      <c r="J125" s="21"/>
      <c r="K125" s="21"/>
      <c r="L125" s="21"/>
      <c r="M125" s="21"/>
      <c r="N125" s="21"/>
      <c r="O125" s="83"/>
      <c r="P125" s="21"/>
      <c r="Q125" s="21"/>
      <c r="R125" s="21"/>
      <c r="S125" s="21"/>
    </row>
    <row r="126" spans="2:19" x14ac:dyDescent="0.35">
      <c r="B126" s="21"/>
      <c r="C126" s="21"/>
      <c r="D126" s="22"/>
      <c r="E126" s="23"/>
      <c r="F126" s="23"/>
      <c r="G126" s="24"/>
      <c r="H126" s="21"/>
      <c r="I126" s="20"/>
      <c r="J126" s="21"/>
      <c r="K126" s="21"/>
      <c r="L126" s="21"/>
      <c r="M126" s="21"/>
      <c r="N126" s="21"/>
      <c r="O126" s="83"/>
      <c r="P126" s="21"/>
      <c r="Q126" s="21"/>
      <c r="R126" s="21"/>
      <c r="S126" s="21"/>
    </row>
    <row r="127" spans="2:19" x14ac:dyDescent="0.35">
      <c r="B127" s="21"/>
      <c r="C127" s="21"/>
      <c r="D127" s="22"/>
      <c r="E127" s="23"/>
      <c r="F127" s="23"/>
      <c r="G127" s="24"/>
      <c r="H127" s="21"/>
      <c r="I127" s="20"/>
      <c r="J127" s="21"/>
      <c r="K127" s="21"/>
      <c r="L127" s="21"/>
      <c r="M127" s="21"/>
      <c r="N127" s="21"/>
      <c r="O127" s="83"/>
      <c r="P127" s="21"/>
      <c r="Q127" s="21"/>
      <c r="R127" s="21"/>
      <c r="S127" s="21"/>
    </row>
    <row r="128" spans="2:19" x14ac:dyDescent="0.35">
      <c r="B128" s="21"/>
      <c r="C128" s="21"/>
      <c r="D128" s="22"/>
      <c r="E128" s="23"/>
      <c r="F128" s="23"/>
      <c r="G128" s="24"/>
      <c r="H128" s="21"/>
      <c r="I128" s="20"/>
      <c r="J128" s="21"/>
      <c r="K128" s="21"/>
      <c r="L128" s="21"/>
      <c r="M128" s="21"/>
      <c r="N128" s="21"/>
      <c r="O128" s="83"/>
      <c r="P128" s="21"/>
      <c r="Q128" s="21"/>
      <c r="R128" s="21"/>
      <c r="S128" s="21"/>
    </row>
    <row r="129" spans="2:19" x14ac:dyDescent="0.35">
      <c r="B129" s="21"/>
      <c r="C129" s="21"/>
      <c r="D129" s="22"/>
      <c r="E129" s="23"/>
      <c r="F129" s="23"/>
      <c r="G129" s="24"/>
      <c r="H129" s="21"/>
      <c r="I129" s="20"/>
      <c r="J129" s="21"/>
      <c r="K129" s="21"/>
      <c r="L129" s="21"/>
      <c r="M129" s="21"/>
      <c r="N129" s="21"/>
      <c r="O129" s="83"/>
      <c r="P129" s="21"/>
      <c r="Q129" s="21"/>
      <c r="R129" s="21"/>
      <c r="S129" s="21"/>
    </row>
    <row r="130" spans="2:19" x14ac:dyDescent="0.35">
      <c r="B130" s="21"/>
      <c r="C130" s="21"/>
      <c r="D130" s="22"/>
      <c r="E130" s="23"/>
      <c r="F130" s="23"/>
      <c r="G130" s="24"/>
      <c r="I130" s="20"/>
      <c r="J130" s="21"/>
      <c r="K130" s="21"/>
      <c r="L130" s="21"/>
      <c r="M130" s="21"/>
      <c r="N130" s="21"/>
      <c r="O130" s="83"/>
      <c r="P130" s="21"/>
      <c r="Q130" s="21"/>
      <c r="R130" s="21"/>
      <c r="S130" s="21"/>
    </row>
    <row r="131" spans="2:19" x14ac:dyDescent="0.35">
      <c r="B131" s="21"/>
      <c r="C131" s="21"/>
      <c r="D131" s="22"/>
      <c r="E131" s="23"/>
      <c r="F131" s="23"/>
      <c r="G131" s="24"/>
      <c r="I131" s="20"/>
      <c r="J131" s="21"/>
      <c r="K131" s="21"/>
      <c r="L131" s="21"/>
      <c r="M131" s="21"/>
      <c r="N131" s="21"/>
      <c r="O131" s="83"/>
      <c r="P131" s="21"/>
      <c r="Q131" s="21"/>
      <c r="R131" s="21"/>
      <c r="S131" s="21"/>
    </row>
    <row r="132" spans="2:19" x14ac:dyDescent="0.35">
      <c r="B132" s="21"/>
      <c r="C132" s="21"/>
      <c r="D132" s="22"/>
      <c r="E132" s="23"/>
      <c r="F132" s="23"/>
      <c r="G132" s="24"/>
      <c r="I132" s="20"/>
      <c r="J132" s="21"/>
      <c r="K132" s="21"/>
      <c r="L132" s="21"/>
      <c r="M132" s="21"/>
      <c r="N132" s="21"/>
      <c r="O132" s="83"/>
      <c r="P132" s="21"/>
      <c r="Q132" s="21"/>
      <c r="R132" s="21"/>
      <c r="S132" s="21"/>
    </row>
    <row r="133" spans="2:19" x14ac:dyDescent="0.35">
      <c r="B133" s="21"/>
      <c r="C133" s="21"/>
      <c r="D133" s="22"/>
      <c r="E133" s="23"/>
      <c r="F133" s="23"/>
      <c r="G133" s="24"/>
      <c r="I133" s="20"/>
      <c r="J133" s="21"/>
      <c r="K133" s="21"/>
      <c r="L133" s="21"/>
      <c r="M133" s="21"/>
      <c r="N133" s="21"/>
      <c r="O133" s="83"/>
      <c r="P133" s="21"/>
      <c r="Q133" s="21"/>
      <c r="R133" s="21"/>
      <c r="S133" s="21"/>
    </row>
    <row r="134" spans="2:19" x14ac:dyDescent="0.35">
      <c r="B134" s="21"/>
      <c r="C134" s="21"/>
      <c r="D134" s="22"/>
      <c r="E134" s="23"/>
      <c r="F134" s="23"/>
      <c r="G134" s="24"/>
      <c r="I134" s="20"/>
      <c r="J134" s="21"/>
      <c r="K134" s="21"/>
      <c r="L134" s="21"/>
      <c r="M134" s="21"/>
      <c r="N134" s="21"/>
      <c r="O134" s="83"/>
      <c r="P134" s="21"/>
      <c r="Q134" s="21"/>
      <c r="R134" s="21"/>
      <c r="S134" s="21"/>
    </row>
    <row r="135" spans="2:19" x14ac:dyDescent="0.35">
      <c r="B135" s="21"/>
      <c r="C135" s="21"/>
      <c r="D135" s="22"/>
      <c r="E135" s="23"/>
      <c r="F135" s="23"/>
      <c r="G135" s="24"/>
      <c r="I135" s="20"/>
      <c r="J135" s="21"/>
      <c r="K135" s="21"/>
      <c r="L135" s="21"/>
      <c r="M135" s="21"/>
      <c r="N135" s="21"/>
      <c r="O135" s="83"/>
      <c r="P135" s="21"/>
      <c r="Q135" s="21"/>
      <c r="R135" s="21"/>
      <c r="S135" s="21"/>
    </row>
    <row r="136" spans="2:19" x14ac:dyDescent="0.35">
      <c r="B136" s="21"/>
      <c r="C136" s="21"/>
      <c r="D136" s="22"/>
      <c r="E136" s="23"/>
      <c r="F136" s="23"/>
      <c r="G136" s="24"/>
      <c r="I136" s="20"/>
      <c r="J136" s="21"/>
      <c r="K136" s="21"/>
      <c r="L136" s="21"/>
      <c r="M136" s="21"/>
      <c r="N136" s="21"/>
      <c r="O136" s="83"/>
      <c r="P136" s="21"/>
      <c r="Q136" s="21"/>
      <c r="R136" s="21"/>
      <c r="S136" s="21"/>
    </row>
    <row r="137" spans="2:19" x14ac:dyDescent="0.35">
      <c r="B137" s="21"/>
      <c r="C137" s="21"/>
      <c r="D137" s="22"/>
      <c r="E137" s="23"/>
      <c r="F137" s="23"/>
      <c r="G137" s="24"/>
      <c r="I137" s="20"/>
      <c r="J137" s="21"/>
      <c r="K137" s="21"/>
      <c r="L137" s="21"/>
      <c r="M137" s="21"/>
      <c r="N137" s="21"/>
      <c r="O137" s="83"/>
      <c r="P137" s="21"/>
      <c r="Q137" s="21"/>
      <c r="R137" s="21"/>
      <c r="S137" s="21"/>
    </row>
    <row r="138" spans="2:19" x14ac:dyDescent="0.35">
      <c r="B138" s="21"/>
      <c r="C138" s="21"/>
      <c r="D138" s="22"/>
      <c r="E138" s="23"/>
      <c r="F138" s="23"/>
      <c r="G138" s="24"/>
      <c r="I138" s="20"/>
      <c r="J138" s="21"/>
      <c r="K138" s="21"/>
      <c r="L138" s="21"/>
      <c r="M138" s="21"/>
      <c r="N138" s="21"/>
      <c r="O138" s="83"/>
      <c r="P138" s="21"/>
      <c r="Q138" s="21"/>
      <c r="R138" s="21"/>
      <c r="S138" s="21"/>
    </row>
    <row r="139" spans="2:19" x14ac:dyDescent="0.35">
      <c r="B139" s="21"/>
      <c r="D139" s="29"/>
      <c r="E139" s="27"/>
      <c r="F139" s="27"/>
      <c r="G139" s="25"/>
      <c r="I139" s="20"/>
      <c r="J139" s="21"/>
      <c r="K139" s="21"/>
      <c r="L139" s="21"/>
      <c r="M139" s="21"/>
      <c r="N139" s="21"/>
      <c r="O139" s="83"/>
      <c r="P139" s="21"/>
      <c r="Q139" s="21"/>
      <c r="R139" s="21"/>
      <c r="S139" s="21"/>
    </row>
    <row r="140" spans="2:19" x14ac:dyDescent="0.35">
      <c r="B140" s="21"/>
      <c r="D140" s="29"/>
      <c r="E140" s="27"/>
      <c r="F140" s="27"/>
      <c r="G140" s="25"/>
      <c r="I140" s="20"/>
      <c r="J140" s="21"/>
      <c r="K140" s="21"/>
      <c r="L140" s="21"/>
      <c r="M140" s="21"/>
      <c r="N140" s="21"/>
      <c r="O140" s="83"/>
      <c r="P140" s="21"/>
      <c r="Q140" s="21"/>
      <c r="R140" s="21"/>
      <c r="S140" s="21"/>
    </row>
    <row r="141" spans="2:19" x14ac:dyDescent="0.35">
      <c r="B141" s="21"/>
      <c r="D141" s="29"/>
      <c r="E141" s="27"/>
      <c r="F141" s="27"/>
      <c r="G141" s="25"/>
      <c r="I141" s="20"/>
      <c r="J141" s="21"/>
      <c r="K141" s="21"/>
      <c r="L141" s="21"/>
      <c r="M141" s="21"/>
      <c r="N141" s="21"/>
      <c r="O141" s="83"/>
      <c r="P141" s="21"/>
      <c r="Q141" s="21"/>
      <c r="R141" s="21"/>
      <c r="S141" s="21"/>
    </row>
    <row r="142" spans="2:19" x14ac:dyDescent="0.35">
      <c r="B142" s="21"/>
      <c r="D142" s="29"/>
      <c r="E142" s="27"/>
      <c r="F142" s="27"/>
      <c r="G142" s="25"/>
      <c r="I142" s="20"/>
      <c r="J142" s="21"/>
      <c r="K142" s="21"/>
      <c r="L142" s="21"/>
      <c r="M142" s="21"/>
      <c r="N142" s="21"/>
      <c r="O142" s="83"/>
      <c r="P142" s="21"/>
      <c r="Q142" s="21"/>
      <c r="R142" s="21"/>
      <c r="S142" s="21"/>
    </row>
    <row r="143" spans="2:19" x14ac:dyDescent="0.35">
      <c r="B143" s="21"/>
      <c r="D143" s="29"/>
      <c r="E143" s="27"/>
      <c r="F143" s="27"/>
      <c r="G143" s="25"/>
      <c r="I143" s="20"/>
      <c r="J143" s="21"/>
      <c r="K143" s="21"/>
      <c r="L143" s="21"/>
      <c r="M143" s="21"/>
      <c r="N143" s="21"/>
      <c r="O143" s="83"/>
      <c r="P143" s="21"/>
      <c r="Q143" s="21"/>
      <c r="R143" s="21"/>
      <c r="S143" s="21"/>
    </row>
    <row r="144" spans="2:19" x14ac:dyDescent="0.35">
      <c r="B144" s="21"/>
      <c r="D144" s="29"/>
      <c r="E144" s="27"/>
      <c r="F144" s="27"/>
      <c r="G144" s="25"/>
      <c r="I144" s="20"/>
      <c r="J144" s="21"/>
      <c r="K144" s="21"/>
      <c r="L144" s="21"/>
      <c r="M144" s="21"/>
      <c r="N144" s="21"/>
      <c r="O144" s="83"/>
      <c r="P144" s="21"/>
      <c r="Q144" s="21"/>
      <c r="R144" s="21"/>
      <c r="S144" s="21"/>
    </row>
    <row r="145" spans="2:19" x14ac:dyDescent="0.35">
      <c r="B145" s="21"/>
      <c r="D145" s="29"/>
      <c r="E145" s="27"/>
      <c r="F145" s="27"/>
      <c r="G145" s="25"/>
      <c r="I145" s="20"/>
      <c r="J145" s="21"/>
      <c r="K145" s="21"/>
      <c r="L145" s="21"/>
      <c r="M145" s="21"/>
      <c r="N145" s="21"/>
      <c r="O145" s="83"/>
      <c r="P145" s="21"/>
      <c r="Q145" s="21"/>
      <c r="R145" s="21"/>
      <c r="S145" s="21"/>
    </row>
    <row r="146" spans="2:19" x14ac:dyDescent="0.35">
      <c r="B146" s="21"/>
      <c r="D146" s="29"/>
      <c r="E146" s="27"/>
      <c r="F146" s="27"/>
      <c r="G146" s="25"/>
      <c r="I146" s="20"/>
      <c r="J146" s="21"/>
      <c r="K146" s="21"/>
      <c r="L146" s="21"/>
      <c r="M146" s="21"/>
      <c r="N146" s="21"/>
      <c r="O146" s="83"/>
      <c r="P146" s="21"/>
      <c r="Q146" s="21"/>
      <c r="R146" s="21"/>
      <c r="S146" s="21"/>
    </row>
    <row r="147" spans="2:19" x14ac:dyDescent="0.35">
      <c r="B147" s="21"/>
      <c r="D147" s="29"/>
      <c r="E147" s="27"/>
      <c r="F147" s="27"/>
      <c r="G147" s="25"/>
      <c r="I147" s="20"/>
      <c r="J147" s="21"/>
      <c r="K147" s="21"/>
      <c r="L147" s="21"/>
      <c r="M147" s="21"/>
      <c r="N147" s="21"/>
      <c r="O147" s="83"/>
      <c r="P147" s="21"/>
      <c r="Q147" s="21"/>
      <c r="R147" s="21"/>
      <c r="S147" s="21"/>
    </row>
    <row r="148" spans="2:19" x14ac:dyDescent="0.35">
      <c r="B148" s="21"/>
      <c r="D148" s="29"/>
      <c r="E148" s="27"/>
      <c r="F148" s="27"/>
      <c r="G148" s="25"/>
      <c r="I148" s="20"/>
      <c r="J148" s="21"/>
      <c r="K148" s="21"/>
      <c r="L148" s="21"/>
      <c r="M148" s="21"/>
      <c r="N148" s="21"/>
      <c r="O148" s="83"/>
      <c r="P148" s="21"/>
      <c r="Q148" s="21"/>
      <c r="R148" s="21"/>
      <c r="S148" s="21"/>
    </row>
    <row r="149" spans="2:19" x14ac:dyDescent="0.35">
      <c r="B149" s="21"/>
      <c r="D149" s="29"/>
      <c r="E149" s="27"/>
      <c r="F149" s="27"/>
      <c r="G149" s="25"/>
      <c r="I149" s="20"/>
      <c r="J149" s="21"/>
      <c r="K149" s="21"/>
      <c r="L149" s="21"/>
      <c r="M149" s="21"/>
      <c r="N149" s="21"/>
      <c r="O149" s="83"/>
      <c r="P149" s="21"/>
      <c r="Q149" s="21"/>
      <c r="R149" s="21"/>
      <c r="S149" s="21"/>
    </row>
    <row r="150" spans="2:19" x14ac:dyDescent="0.35">
      <c r="D150" s="29"/>
      <c r="E150" s="27"/>
      <c r="F150" s="27"/>
      <c r="G150" s="25"/>
      <c r="I150" s="20"/>
      <c r="J150" s="21"/>
      <c r="K150" s="21"/>
      <c r="L150" s="21"/>
      <c r="M150" s="21"/>
      <c r="N150" s="21"/>
      <c r="O150" s="83"/>
      <c r="P150" s="21"/>
      <c r="Q150" s="21"/>
      <c r="R150" s="21"/>
      <c r="S150" s="21"/>
    </row>
    <row r="151" spans="2:19" x14ac:dyDescent="0.35">
      <c r="D151" s="29"/>
      <c r="E151" s="27"/>
      <c r="F151" s="27"/>
      <c r="G151" s="25"/>
      <c r="I151" s="20"/>
      <c r="J151" s="21"/>
      <c r="K151" s="21"/>
      <c r="L151" s="21"/>
      <c r="M151" s="21"/>
      <c r="N151" s="21"/>
      <c r="O151" s="83"/>
      <c r="P151" s="21"/>
      <c r="Q151" s="21"/>
      <c r="R151" s="21"/>
      <c r="S151" s="21"/>
    </row>
    <row r="152" spans="2:19" x14ac:dyDescent="0.35">
      <c r="D152" s="29"/>
      <c r="E152" s="27"/>
      <c r="F152" s="27"/>
      <c r="G152" s="25"/>
      <c r="I152" s="20"/>
      <c r="J152" s="21"/>
      <c r="K152" s="21"/>
      <c r="L152" s="21"/>
      <c r="M152" s="21"/>
      <c r="N152" s="21"/>
      <c r="O152" s="83"/>
      <c r="P152" s="21"/>
      <c r="Q152" s="21"/>
      <c r="R152" s="21"/>
      <c r="S152" s="21"/>
    </row>
    <row r="153" spans="2:19" x14ac:dyDescent="0.35">
      <c r="I153" s="20"/>
      <c r="J153" s="21"/>
      <c r="K153" s="21"/>
      <c r="L153" s="21"/>
      <c r="M153" s="21"/>
      <c r="N153" s="21"/>
      <c r="O153" s="83"/>
      <c r="P153" s="21"/>
      <c r="Q153" s="21"/>
      <c r="R153" s="21"/>
      <c r="S153" s="21"/>
    </row>
    <row r="154" spans="2:19" x14ac:dyDescent="0.35">
      <c r="I154" s="20"/>
      <c r="J154" s="21"/>
      <c r="K154" s="21"/>
      <c r="L154" s="21"/>
      <c r="M154" s="21"/>
      <c r="N154" s="21"/>
      <c r="O154" s="83"/>
      <c r="P154" s="21"/>
      <c r="Q154" s="21"/>
      <c r="R154" s="21"/>
      <c r="S154" s="21"/>
    </row>
    <row r="155" spans="2:19" x14ac:dyDescent="0.35">
      <c r="I155" s="20"/>
      <c r="J155" s="21"/>
      <c r="K155" s="21"/>
      <c r="L155" s="21"/>
      <c r="M155" s="21"/>
      <c r="N155" s="21"/>
      <c r="O155" s="83"/>
      <c r="P155" s="21"/>
      <c r="Q155" s="21"/>
      <c r="R155" s="21"/>
      <c r="S155" s="21"/>
    </row>
    <row r="156" spans="2:19" x14ac:dyDescent="0.35">
      <c r="I156" s="20"/>
      <c r="J156" s="21"/>
      <c r="K156" s="21"/>
      <c r="L156" s="21"/>
      <c r="M156" s="21"/>
      <c r="N156" s="21"/>
      <c r="O156" s="83"/>
      <c r="P156" s="21"/>
      <c r="Q156" s="21"/>
      <c r="R156" s="21"/>
      <c r="S156" s="21"/>
    </row>
    <row r="157" spans="2:19" x14ac:dyDescent="0.35">
      <c r="I157" s="20"/>
      <c r="J157" s="21"/>
      <c r="K157" s="21"/>
      <c r="L157" s="21"/>
      <c r="M157" s="21"/>
      <c r="N157" s="21"/>
      <c r="O157" s="83"/>
      <c r="P157" s="21"/>
      <c r="Q157" s="21"/>
      <c r="R157" s="21"/>
      <c r="S157" s="21"/>
    </row>
    <row r="158" spans="2:19" x14ac:dyDescent="0.35">
      <c r="I158" s="20"/>
      <c r="J158" s="21"/>
      <c r="K158" s="21"/>
      <c r="L158" s="21"/>
      <c r="M158" s="21"/>
      <c r="N158" s="21"/>
      <c r="O158" s="83"/>
      <c r="P158" s="21"/>
      <c r="Q158" s="21"/>
      <c r="R158" s="21"/>
      <c r="S158" s="21"/>
    </row>
    <row r="159" spans="2:19" x14ac:dyDescent="0.35">
      <c r="I159" s="20"/>
      <c r="J159" s="21"/>
      <c r="K159" s="21"/>
      <c r="L159" s="21"/>
      <c r="M159" s="21"/>
      <c r="N159" s="21"/>
      <c r="O159" s="83"/>
      <c r="P159" s="21"/>
      <c r="Q159" s="21"/>
      <c r="R159" s="21"/>
      <c r="S159" s="21"/>
    </row>
    <row r="160" spans="2:19" x14ac:dyDescent="0.35">
      <c r="I160" s="20"/>
      <c r="J160" s="21"/>
      <c r="K160" s="21"/>
      <c r="L160" s="21"/>
      <c r="M160" s="21"/>
      <c r="N160" s="21"/>
      <c r="O160" s="83"/>
      <c r="P160" s="21"/>
      <c r="Q160" s="21"/>
      <c r="R160" s="21"/>
      <c r="S160" s="21"/>
    </row>
    <row r="161" spans="9:19" x14ac:dyDescent="0.35">
      <c r="I161" s="20"/>
      <c r="J161" s="21"/>
      <c r="K161" s="21"/>
      <c r="L161" s="21"/>
      <c r="M161" s="21"/>
      <c r="N161" s="21"/>
      <c r="O161" s="83"/>
      <c r="P161" s="21"/>
      <c r="Q161" s="21"/>
      <c r="R161" s="21"/>
      <c r="S161" s="21"/>
    </row>
    <row r="162" spans="9:19" x14ac:dyDescent="0.35">
      <c r="I162" s="20"/>
      <c r="J162" s="21"/>
      <c r="K162" s="21"/>
      <c r="L162" s="21"/>
      <c r="M162" s="21"/>
      <c r="N162" s="21"/>
      <c r="O162" s="83"/>
      <c r="P162" s="21"/>
      <c r="Q162" s="21"/>
      <c r="R162" s="21"/>
      <c r="S162" s="21"/>
    </row>
    <row r="163" spans="9:19" x14ac:dyDescent="0.35">
      <c r="I163" s="20"/>
      <c r="J163" s="21"/>
      <c r="K163" s="21"/>
      <c r="L163" s="21"/>
      <c r="M163" s="21"/>
      <c r="N163" s="21"/>
      <c r="O163" s="83"/>
      <c r="P163" s="21"/>
      <c r="Q163" s="21"/>
      <c r="R163" s="21"/>
      <c r="S163" s="21"/>
    </row>
    <row r="164" spans="9:19" x14ac:dyDescent="0.35">
      <c r="I164" s="20"/>
      <c r="J164" s="21"/>
      <c r="K164" s="21"/>
      <c r="L164" s="21"/>
      <c r="M164" s="21"/>
      <c r="N164" s="21"/>
      <c r="O164" s="83"/>
      <c r="P164" s="21"/>
      <c r="Q164" s="21"/>
      <c r="R164" s="21"/>
      <c r="S164" s="21"/>
    </row>
    <row r="165" spans="9:19" x14ac:dyDescent="0.35">
      <c r="I165" s="20"/>
      <c r="J165" s="21"/>
      <c r="K165" s="21"/>
      <c r="L165" s="21"/>
      <c r="M165" s="21"/>
      <c r="N165" s="21"/>
      <c r="O165" s="83"/>
      <c r="P165" s="21"/>
      <c r="Q165" s="21"/>
      <c r="R165" s="21"/>
      <c r="S165" s="21"/>
    </row>
    <row r="166" spans="9:19" x14ac:dyDescent="0.35">
      <c r="I166" s="20"/>
      <c r="J166" s="21"/>
      <c r="K166" s="21"/>
      <c r="L166" s="21"/>
      <c r="M166" s="21"/>
      <c r="N166" s="21"/>
      <c r="O166" s="83"/>
      <c r="P166" s="21"/>
      <c r="Q166" s="21"/>
      <c r="R166" s="21"/>
      <c r="S166" s="21"/>
    </row>
    <row r="167" spans="9:19" x14ac:dyDescent="0.35">
      <c r="I167" s="20"/>
      <c r="J167" s="21"/>
      <c r="K167" s="21"/>
      <c r="L167" s="21"/>
      <c r="M167" s="21"/>
      <c r="N167" s="21"/>
      <c r="O167" s="83"/>
      <c r="P167" s="21"/>
      <c r="Q167" s="21"/>
      <c r="R167" s="21"/>
      <c r="S167" s="21"/>
    </row>
    <row r="168" spans="9:19" x14ac:dyDescent="0.35">
      <c r="I168" s="20"/>
      <c r="J168" s="21"/>
      <c r="K168" s="21"/>
      <c r="L168" s="21"/>
      <c r="M168" s="21"/>
      <c r="N168" s="21"/>
      <c r="O168" s="83"/>
      <c r="P168" s="21"/>
      <c r="Q168" s="21"/>
      <c r="R168" s="21"/>
      <c r="S168" s="21"/>
    </row>
    <row r="169" spans="9:19" x14ac:dyDescent="0.35">
      <c r="J169" s="21"/>
      <c r="K169" s="21"/>
      <c r="L169" s="21"/>
      <c r="M169" s="21"/>
      <c r="N169" s="21"/>
      <c r="O169" s="83"/>
      <c r="P169" s="21"/>
      <c r="Q169" s="21"/>
      <c r="R169" s="21"/>
      <c r="S169" s="21"/>
    </row>
    <row r="170" spans="9:19" x14ac:dyDescent="0.35">
      <c r="I170" s="20"/>
      <c r="J170" s="21"/>
      <c r="K170" s="21"/>
      <c r="L170" s="21"/>
      <c r="M170" s="21"/>
      <c r="N170" s="21"/>
      <c r="O170" s="83"/>
      <c r="P170" s="22"/>
      <c r="Q170" s="23"/>
      <c r="R170" s="23"/>
      <c r="S170" s="21"/>
    </row>
    <row r="171" spans="9:19" x14ac:dyDescent="0.35">
      <c r="I171" s="20"/>
      <c r="J171" s="21"/>
      <c r="K171" s="21"/>
      <c r="L171" s="21"/>
      <c r="M171" s="21"/>
      <c r="N171" s="21"/>
      <c r="O171" s="83"/>
      <c r="P171" s="22"/>
      <c r="Q171" s="23"/>
      <c r="R171" s="23"/>
      <c r="S171" s="21"/>
    </row>
    <row r="172" spans="9:19" x14ac:dyDescent="0.35">
      <c r="I172" s="20"/>
      <c r="J172" s="21"/>
      <c r="K172" s="21"/>
      <c r="L172" s="21"/>
      <c r="M172" s="21"/>
      <c r="N172" s="21"/>
      <c r="O172" s="83"/>
      <c r="P172" s="22"/>
      <c r="Q172" s="23"/>
      <c r="R172" s="23"/>
      <c r="S172" s="21"/>
    </row>
    <row r="173" spans="9:19" x14ac:dyDescent="0.35">
      <c r="I173" s="20"/>
      <c r="J173" s="21"/>
      <c r="K173" s="21"/>
      <c r="L173" s="21"/>
      <c r="M173" s="21"/>
      <c r="N173" s="21"/>
      <c r="O173" s="83"/>
      <c r="P173" s="22"/>
      <c r="Q173" s="23"/>
      <c r="R173" s="23"/>
      <c r="S173" s="21"/>
    </row>
    <row r="174" spans="9:19" x14ac:dyDescent="0.35">
      <c r="I174" s="20"/>
      <c r="J174" s="23"/>
      <c r="K174" s="23"/>
      <c r="L174" s="24"/>
      <c r="M174" s="24"/>
      <c r="N174" s="21"/>
      <c r="O174" s="83"/>
      <c r="P174" s="22"/>
      <c r="Q174" s="23"/>
      <c r="R174" s="23"/>
      <c r="S174" s="21"/>
    </row>
    <row r="175" spans="9:19" x14ac:dyDescent="0.35">
      <c r="I175" s="20"/>
      <c r="J175" s="21"/>
      <c r="K175" s="21"/>
      <c r="L175" s="21"/>
      <c r="M175" s="21"/>
      <c r="N175" s="21"/>
      <c r="O175" s="21"/>
      <c r="P175" s="22"/>
      <c r="Q175" s="23"/>
      <c r="R175" s="23"/>
      <c r="S175" s="21"/>
    </row>
    <row r="176" spans="9:19" x14ac:dyDescent="0.35">
      <c r="I176" s="20"/>
      <c r="J176" s="21"/>
      <c r="K176" s="21"/>
      <c r="L176" s="21"/>
      <c r="M176" s="21"/>
      <c r="N176" s="21"/>
      <c r="O176" s="21"/>
      <c r="P176" s="22"/>
      <c r="Q176" s="23"/>
      <c r="R176" s="23"/>
      <c r="S176" s="21"/>
    </row>
    <row r="177" spans="9:19" x14ac:dyDescent="0.35">
      <c r="I177" s="20"/>
      <c r="J177" s="21"/>
      <c r="K177" s="21"/>
      <c r="L177" s="21"/>
      <c r="M177" s="21"/>
      <c r="N177" s="21"/>
      <c r="O177" s="22"/>
      <c r="P177" s="23"/>
      <c r="Q177" s="23"/>
      <c r="R177" s="21"/>
      <c r="S177" s="21"/>
    </row>
    <row r="178" spans="9:19" x14ac:dyDescent="0.35">
      <c r="I178" s="20"/>
      <c r="J178" s="21"/>
      <c r="K178" s="21"/>
      <c r="L178" s="21"/>
      <c r="M178" s="21"/>
      <c r="N178" s="21"/>
      <c r="O178" s="22"/>
      <c r="P178" s="23"/>
      <c r="Q178" s="23"/>
      <c r="R178" s="21"/>
      <c r="S178" s="21"/>
    </row>
    <row r="179" spans="9:19" x14ac:dyDescent="0.35">
      <c r="I179" s="20"/>
      <c r="J179" s="21"/>
      <c r="K179" s="21"/>
      <c r="L179" s="21"/>
      <c r="M179" s="21"/>
      <c r="N179" s="21"/>
      <c r="O179" s="22"/>
      <c r="P179" s="23"/>
      <c r="Q179" s="23"/>
      <c r="R179" s="21"/>
      <c r="S179" s="21"/>
    </row>
    <row r="180" spans="9:19" x14ac:dyDescent="0.35">
      <c r="I180" s="20"/>
      <c r="J180" s="21"/>
      <c r="K180" s="21"/>
      <c r="L180" s="21"/>
      <c r="M180" s="21"/>
      <c r="N180" s="21"/>
      <c r="O180" s="22"/>
      <c r="P180" s="23"/>
      <c r="Q180" s="23"/>
      <c r="R180" s="21"/>
      <c r="S180" s="21"/>
    </row>
    <row r="181" spans="9:19" x14ac:dyDescent="0.35">
      <c r="I181" s="20"/>
      <c r="J181" s="21"/>
      <c r="K181" s="21"/>
      <c r="L181" s="21"/>
      <c r="M181" s="21"/>
      <c r="N181" s="21"/>
      <c r="O181" s="22"/>
      <c r="P181" s="23"/>
      <c r="Q181" s="23"/>
      <c r="R181" s="21"/>
      <c r="S181" s="21"/>
    </row>
    <row r="182" spans="9:19" x14ac:dyDescent="0.35">
      <c r="I182" s="20"/>
      <c r="J182" s="21"/>
      <c r="K182" s="21"/>
      <c r="L182" s="21"/>
      <c r="M182" s="21"/>
      <c r="N182" s="21"/>
      <c r="O182" s="22"/>
      <c r="P182" s="23"/>
      <c r="Q182" s="23"/>
      <c r="R182" s="21"/>
      <c r="S182" s="21"/>
    </row>
    <row r="183" spans="9:19" x14ac:dyDescent="0.35">
      <c r="I183" s="20"/>
      <c r="J183" s="21"/>
      <c r="K183" s="21"/>
      <c r="L183" s="21"/>
      <c r="M183" s="21"/>
      <c r="N183" s="21"/>
      <c r="O183" s="22"/>
      <c r="P183" s="23"/>
      <c r="Q183" s="23"/>
      <c r="R183" s="21"/>
      <c r="S183" s="21"/>
    </row>
    <row r="184" spans="9:19" x14ac:dyDescent="0.35">
      <c r="I184" s="20"/>
      <c r="J184" s="21"/>
      <c r="K184" s="21"/>
      <c r="L184" s="21"/>
      <c r="M184" s="21"/>
      <c r="N184" s="21"/>
      <c r="O184" s="22"/>
      <c r="P184" s="23"/>
      <c r="Q184" s="23"/>
      <c r="R184" s="21"/>
      <c r="S184" s="21"/>
    </row>
    <row r="185" spans="9:19" x14ac:dyDescent="0.35">
      <c r="I185" s="20"/>
      <c r="J185" s="21"/>
      <c r="K185" s="21"/>
      <c r="L185" s="21"/>
      <c r="M185" s="21"/>
      <c r="N185" s="21"/>
      <c r="O185" s="22"/>
      <c r="P185" s="23"/>
      <c r="Q185" s="23"/>
      <c r="R185" s="21"/>
      <c r="S185" s="21"/>
    </row>
    <row r="186" spans="9:19" x14ac:dyDescent="0.35">
      <c r="I186" s="20"/>
      <c r="J186" s="21"/>
      <c r="K186" s="21"/>
      <c r="L186" s="21"/>
      <c r="M186" s="21"/>
      <c r="N186" s="21"/>
      <c r="O186" s="22"/>
      <c r="P186" s="23"/>
      <c r="Q186" s="23"/>
      <c r="R186" s="21"/>
      <c r="S186" s="21"/>
    </row>
    <row r="187" spans="9:19" x14ac:dyDescent="0.35">
      <c r="I187" s="20"/>
      <c r="J187" s="21"/>
      <c r="K187" s="21"/>
      <c r="L187" s="21"/>
      <c r="M187" s="21"/>
      <c r="N187" s="21"/>
      <c r="O187" s="22"/>
      <c r="P187" s="23"/>
      <c r="Q187" s="23"/>
      <c r="R187" s="21"/>
      <c r="S187" s="21"/>
    </row>
    <row r="188" spans="9:19" x14ac:dyDescent="0.35">
      <c r="I188" s="20"/>
      <c r="J188" s="21"/>
      <c r="K188" s="21"/>
      <c r="L188" s="21"/>
      <c r="M188" s="21"/>
      <c r="N188" s="21"/>
      <c r="O188" s="22"/>
      <c r="P188" s="23"/>
      <c r="Q188" s="23"/>
      <c r="R188" s="21"/>
      <c r="S188" s="21"/>
    </row>
    <row r="189" spans="9:19" x14ac:dyDescent="0.35">
      <c r="I189" s="20"/>
      <c r="J189" s="21"/>
      <c r="K189" s="21"/>
      <c r="L189" s="21"/>
      <c r="M189" s="21"/>
      <c r="N189" s="21"/>
      <c r="O189" s="22"/>
      <c r="P189" s="23"/>
      <c r="Q189" s="23"/>
      <c r="R189" s="21"/>
      <c r="S189" s="21"/>
    </row>
    <row r="190" spans="9:19" x14ac:dyDescent="0.35">
      <c r="I190" s="20"/>
      <c r="J190" s="21"/>
      <c r="K190" s="21"/>
      <c r="L190" s="21"/>
      <c r="M190" s="21"/>
      <c r="N190" s="21"/>
      <c r="O190" s="22"/>
      <c r="P190" s="23"/>
      <c r="Q190" s="23"/>
      <c r="R190" s="21"/>
      <c r="S190" s="21"/>
    </row>
    <row r="191" spans="9:19" x14ac:dyDescent="0.35">
      <c r="I191" s="20"/>
      <c r="J191" s="21"/>
      <c r="K191" s="21"/>
      <c r="L191" s="21"/>
      <c r="M191" s="21"/>
      <c r="N191" s="21"/>
      <c r="O191" s="22"/>
      <c r="P191" s="23"/>
      <c r="Q191" s="23"/>
      <c r="R191" s="21"/>
      <c r="S191" s="21"/>
    </row>
    <row r="192" spans="9:19" x14ac:dyDescent="0.35">
      <c r="I192" s="20"/>
      <c r="J192" s="21"/>
      <c r="K192" s="21"/>
      <c r="L192" s="21"/>
      <c r="M192" s="21"/>
      <c r="N192" s="21"/>
      <c r="O192" s="22"/>
      <c r="P192" s="23"/>
      <c r="Q192" s="23"/>
      <c r="R192" s="21"/>
      <c r="S192" s="21"/>
    </row>
    <row r="193" spans="8:19" x14ac:dyDescent="0.35">
      <c r="I193" s="20"/>
      <c r="J193" s="21"/>
      <c r="K193" s="21"/>
      <c r="L193" s="21"/>
      <c r="M193" s="21"/>
      <c r="N193" s="21"/>
      <c r="O193" s="22"/>
      <c r="P193" s="23"/>
      <c r="Q193" s="23"/>
      <c r="R193" s="21"/>
      <c r="S193" s="21"/>
    </row>
    <row r="194" spans="8:19" x14ac:dyDescent="0.35">
      <c r="I194" s="20"/>
      <c r="J194" s="21"/>
      <c r="K194" s="21"/>
      <c r="L194" s="21"/>
      <c r="M194" s="21"/>
      <c r="N194" s="21"/>
      <c r="O194" s="22"/>
      <c r="P194" s="23"/>
      <c r="Q194" s="23"/>
      <c r="R194" s="21"/>
      <c r="S194" s="21"/>
    </row>
    <row r="195" spans="8:19" x14ac:dyDescent="0.35">
      <c r="I195" s="20"/>
      <c r="J195" s="21"/>
      <c r="K195" s="21"/>
      <c r="L195" s="21"/>
      <c r="M195" s="21"/>
      <c r="N195" s="21"/>
      <c r="O195" s="22"/>
      <c r="P195" s="23"/>
      <c r="Q195" s="23"/>
      <c r="R195" s="21"/>
      <c r="S195" s="21"/>
    </row>
    <row r="196" spans="8:19" x14ac:dyDescent="0.35">
      <c r="I196" s="20"/>
      <c r="J196" s="21"/>
      <c r="K196" s="21"/>
      <c r="L196" s="21"/>
      <c r="M196" s="21"/>
      <c r="N196" s="21"/>
      <c r="O196" s="22"/>
      <c r="P196" s="23"/>
      <c r="Q196" s="23"/>
      <c r="R196" s="21"/>
      <c r="S196" s="21"/>
    </row>
    <row r="197" spans="8:19" x14ac:dyDescent="0.35">
      <c r="I197" s="20"/>
      <c r="J197" s="21"/>
      <c r="K197" s="21"/>
      <c r="L197" s="21"/>
      <c r="M197" s="21"/>
      <c r="N197" s="21"/>
      <c r="O197" s="22"/>
      <c r="P197" s="23"/>
      <c r="Q197" s="23"/>
      <c r="R197" s="21"/>
      <c r="S197" s="21"/>
    </row>
    <row r="198" spans="8:19" x14ac:dyDescent="0.35">
      <c r="I198" s="20"/>
      <c r="J198" s="21"/>
      <c r="K198" s="21"/>
      <c r="L198" s="21"/>
      <c r="M198" s="21"/>
      <c r="N198" s="21"/>
      <c r="O198" s="22"/>
      <c r="P198" s="23"/>
      <c r="Q198" s="23"/>
      <c r="R198" s="21"/>
      <c r="S198" s="21"/>
    </row>
    <row r="199" spans="8:19" x14ac:dyDescent="0.35">
      <c r="I199" s="20"/>
      <c r="J199" s="21"/>
      <c r="K199" s="21"/>
      <c r="L199" s="21"/>
      <c r="M199" s="21"/>
      <c r="N199" s="21"/>
      <c r="O199" s="22"/>
      <c r="P199" s="23"/>
      <c r="Q199" s="23"/>
      <c r="R199" s="21"/>
      <c r="S199" s="21"/>
    </row>
    <row r="200" spans="8:19" x14ac:dyDescent="0.35">
      <c r="I200" s="20"/>
      <c r="J200" s="21"/>
      <c r="K200" s="21"/>
      <c r="L200" s="21"/>
      <c r="M200" s="21"/>
      <c r="N200" s="21"/>
      <c r="O200" s="22"/>
      <c r="P200" s="23"/>
      <c r="Q200" s="23"/>
      <c r="R200" s="21"/>
      <c r="S200" s="21"/>
    </row>
    <row r="201" spans="8:19" x14ac:dyDescent="0.35">
      <c r="H201" s="29"/>
      <c r="I201" s="27"/>
      <c r="J201" s="23"/>
      <c r="K201" s="24"/>
      <c r="L201" s="24"/>
      <c r="M201" s="24"/>
      <c r="N201" s="83"/>
      <c r="O201" s="21"/>
      <c r="P201" s="23"/>
      <c r="Q201" s="23"/>
      <c r="R201" s="21"/>
      <c r="S201" s="21"/>
    </row>
    <row r="202" spans="8:19" x14ac:dyDescent="0.35">
      <c r="H202" s="29"/>
      <c r="I202" s="27"/>
      <c r="J202" s="23"/>
      <c r="K202" s="24"/>
      <c r="L202" s="24"/>
      <c r="M202" s="24"/>
      <c r="N202" s="83"/>
      <c r="O202" s="21"/>
      <c r="P202" s="23"/>
      <c r="Q202" s="23"/>
      <c r="R202" s="21"/>
      <c r="S202" s="21"/>
    </row>
    <row r="203" spans="8:19" x14ac:dyDescent="0.35">
      <c r="I203" s="20"/>
      <c r="J203" s="21"/>
      <c r="K203" s="21"/>
      <c r="L203" s="21"/>
      <c r="M203" s="21"/>
      <c r="N203" s="21"/>
      <c r="O203" s="22"/>
      <c r="P203" s="23"/>
      <c r="Q203" s="23"/>
      <c r="R203" s="21"/>
      <c r="S203" s="21"/>
    </row>
    <row r="204" spans="8:19" x14ac:dyDescent="0.35">
      <c r="I204" s="20"/>
      <c r="J204" s="21"/>
      <c r="K204" s="21"/>
      <c r="L204" s="21"/>
      <c r="M204" s="21"/>
      <c r="N204" s="21"/>
      <c r="O204" s="22"/>
      <c r="P204" s="23"/>
      <c r="Q204" s="23"/>
      <c r="R204" s="21"/>
      <c r="S204" s="21"/>
    </row>
    <row r="205" spans="8:19" x14ac:dyDescent="0.35">
      <c r="I205" s="20"/>
      <c r="J205" s="21"/>
      <c r="K205" s="21"/>
      <c r="L205" s="21"/>
      <c r="M205" s="21"/>
      <c r="N205" s="21"/>
      <c r="O205" s="22"/>
      <c r="P205" s="23"/>
      <c r="Q205" s="23"/>
      <c r="R205" s="21"/>
      <c r="S205" s="21"/>
    </row>
    <row r="206" spans="8:19" x14ac:dyDescent="0.35">
      <c r="I206" s="20"/>
      <c r="J206" s="21"/>
      <c r="K206" s="21"/>
      <c r="L206" s="21"/>
      <c r="M206" s="21"/>
      <c r="N206" s="21"/>
      <c r="O206" s="22"/>
      <c r="P206" s="23"/>
      <c r="Q206" s="23"/>
      <c r="R206" s="21"/>
      <c r="S206" s="21"/>
    </row>
    <row r="207" spans="8:19" x14ac:dyDescent="0.35">
      <c r="I207" s="20"/>
      <c r="J207" s="21"/>
      <c r="K207" s="21"/>
      <c r="L207" s="21"/>
      <c r="M207" s="21"/>
      <c r="N207" s="21"/>
      <c r="O207" s="22"/>
      <c r="P207" s="23"/>
      <c r="Q207" s="23"/>
      <c r="R207" s="21"/>
      <c r="S207" s="21"/>
    </row>
    <row r="208" spans="8:19" x14ac:dyDescent="0.35">
      <c r="I208" s="20"/>
      <c r="J208" s="21"/>
      <c r="K208" s="21"/>
      <c r="L208" s="21"/>
      <c r="M208" s="21"/>
      <c r="N208" s="21"/>
      <c r="O208" s="22"/>
      <c r="P208" s="23"/>
      <c r="Q208" s="23"/>
      <c r="R208" s="21"/>
      <c r="S208" s="21"/>
    </row>
    <row r="209" spans="2:19" x14ac:dyDescent="0.35">
      <c r="I209" s="20"/>
      <c r="J209" s="21"/>
      <c r="K209" s="21"/>
      <c r="L209" s="21"/>
      <c r="M209" s="21"/>
      <c r="N209" s="21"/>
      <c r="O209" s="22"/>
      <c r="P209" s="23"/>
      <c r="Q209" s="23"/>
      <c r="R209" s="21"/>
      <c r="S209" s="21"/>
    </row>
    <row r="210" spans="2:19" x14ac:dyDescent="0.35">
      <c r="I210" s="20"/>
      <c r="J210" s="21"/>
      <c r="K210" s="21"/>
      <c r="L210" s="21"/>
      <c r="M210" s="21"/>
      <c r="N210" s="21"/>
      <c r="O210" s="22"/>
      <c r="P210" s="23"/>
      <c r="Q210" s="23"/>
      <c r="R210" s="21"/>
      <c r="S210" s="21"/>
    </row>
    <row r="211" spans="2:19" x14ac:dyDescent="0.35">
      <c r="I211" s="20"/>
      <c r="J211" s="21"/>
      <c r="K211" s="21"/>
      <c r="L211" s="21"/>
      <c r="M211" s="21"/>
      <c r="N211" s="21"/>
      <c r="O211" s="22"/>
      <c r="P211" s="23"/>
      <c r="Q211" s="23"/>
      <c r="R211" s="21"/>
      <c r="S211" s="21"/>
    </row>
    <row r="212" spans="2:19" x14ac:dyDescent="0.35">
      <c r="I212" s="20"/>
      <c r="J212" s="21"/>
      <c r="K212" s="21"/>
      <c r="L212" s="21"/>
      <c r="M212" s="21"/>
      <c r="N212" s="21"/>
      <c r="O212" s="22"/>
      <c r="P212" s="23"/>
      <c r="Q212" s="23"/>
      <c r="R212" s="21"/>
      <c r="S212" s="21"/>
    </row>
    <row r="213" spans="2:19" x14ac:dyDescent="0.35">
      <c r="I213" s="20"/>
      <c r="J213" s="21"/>
      <c r="K213" s="21"/>
      <c r="L213" s="21"/>
      <c r="M213" s="21"/>
      <c r="N213" s="21"/>
      <c r="O213" s="22"/>
      <c r="P213" s="23"/>
      <c r="Q213" s="23"/>
      <c r="R213" s="21"/>
      <c r="S213" s="21"/>
    </row>
    <row r="214" spans="2:19" x14ac:dyDescent="0.35">
      <c r="I214" s="20"/>
      <c r="J214" s="21"/>
      <c r="K214" s="21"/>
      <c r="L214" s="21"/>
      <c r="M214" s="21"/>
      <c r="N214" s="21"/>
      <c r="O214" s="22"/>
      <c r="P214" s="23"/>
      <c r="Q214" s="23"/>
      <c r="R214" s="21"/>
      <c r="S214" s="21"/>
    </row>
    <row r="215" spans="2:19" x14ac:dyDescent="0.35">
      <c r="I215" s="20"/>
      <c r="J215" s="21"/>
      <c r="K215" s="21"/>
      <c r="L215" s="21"/>
      <c r="M215" s="21"/>
      <c r="N215" s="21"/>
      <c r="O215" s="22"/>
      <c r="P215" s="23"/>
      <c r="Q215" s="23"/>
      <c r="R215" s="21"/>
      <c r="S215" s="21"/>
    </row>
    <row r="216" spans="2:19" x14ac:dyDescent="0.35">
      <c r="I216" s="20"/>
      <c r="J216" s="21"/>
      <c r="K216" s="21"/>
      <c r="L216" s="21"/>
      <c r="M216" s="21"/>
      <c r="N216" s="21"/>
      <c r="O216" s="22"/>
      <c r="P216" s="23"/>
      <c r="Q216" s="23"/>
      <c r="R216" s="21"/>
      <c r="S216" s="21"/>
    </row>
    <row r="217" spans="2:19" x14ac:dyDescent="0.35">
      <c r="I217" s="20"/>
      <c r="J217" s="21"/>
      <c r="K217" s="21"/>
      <c r="L217" s="21"/>
      <c r="M217" s="21"/>
      <c r="N217" s="21"/>
      <c r="O217" s="22"/>
      <c r="P217" s="23"/>
      <c r="Q217" s="23"/>
      <c r="R217" s="21"/>
      <c r="S217" s="21"/>
    </row>
    <row r="218" spans="2:19" x14ac:dyDescent="0.35">
      <c r="I218" s="20"/>
      <c r="J218" s="21"/>
      <c r="K218" s="21"/>
      <c r="L218" s="21"/>
      <c r="M218" s="21"/>
      <c r="N218" s="21"/>
      <c r="O218" s="22"/>
      <c r="P218" s="23"/>
      <c r="Q218" s="23"/>
      <c r="R218" s="21"/>
      <c r="S218" s="21"/>
    </row>
    <row r="219" spans="2:19" x14ac:dyDescent="0.35">
      <c r="B219" s="21"/>
      <c r="C219" s="22"/>
      <c r="D219" s="23"/>
      <c r="E219" s="23"/>
      <c r="F219" s="24"/>
      <c r="G219" s="24"/>
      <c r="I219" s="20"/>
      <c r="J219" s="21"/>
      <c r="K219" s="21"/>
      <c r="L219" s="21"/>
      <c r="M219" s="21"/>
      <c r="N219" s="21"/>
      <c r="O219" s="22"/>
      <c r="P219" s="23"/>
      <c r="Q219" s="23"/>
      <c r="R219" s="21"/>
      <c r="S219" s="21"/>
    </row>
    <row r="220" spans="2:19" x14ac:dyDescent="0.35">
      <c r="B220" s="21"/>
      <c r="C220" s="22"/>
      <c r="D220" s="23"/>
      <c r="E220" s="23"/>
      <c r="F220" s="24"/>
      <c r="G220" s="24"/>
      <c r="I220" s="20"/>
      <c r="J220" s="21"/>
      <c r="K220" s="21"/>
      <c r="L220" s="21"/>
      <c r="M220" s="21"/>
      <c r="N220" s="21"/>
      <c r="O220" s="22"/>
      <c r="P220" s="23"/>
      <c r="Q220" s="23"/>
      <c r="R220" s="21"/>
      <c r="S220" s="21"/>
    </row>
    <row r="221" spans="2:19" x14ac:dyDescent="0.35">
      <c r="B221" s="21"/>
      <c r="C221" s="22"/>
      <c r="D221" s="23"/>
      <c r="E221" s="23"/>
      <c r="F221" s="24"/>
      <c r="G221" s="24"/>
      <c r="I221" s="20"/>
      <c r="J221" s="21"/>
      <c r="K221" s="21"/>
      <c r="L221" s="21"/>
      <c r="M221" s="21"/>
      <c r="N221" s="21"/>
      <c r="O221" s="22"/>
      <c r="P221" s="23"/>
      <c r="Q221" s="23"/>
      <c r="R221" s="21"/>
      <c r="S221" s="21"/>
    </row>
    <row r="222" spans="2:19" x14ac:dyDescent="0.35">
      <c r="B222" s="21"/>
      <c r="C222" s="22"/>
      <c r="D222" s="23"/>
      <c r="E222" s="23"/>
      <c r="F222" s="24"/>
      <c r="G222" s="24"/>
      <c r="I222" s="20"/>
      <c r="J222" s="21"/>
      <c r="K222" s="21"/>
      <c r="L222" s="21"/>
      <c r="M222" s="34"/>
      <c r="N222" s="21"/>
      <c r="O222" s="22"/>
      <c r="P222" s="23"/>
      <c r="Q222" s="23"/>
      <c r="R222" s="21"/>
      <c r="S222" s="21"/>
    </row>
    <row r="223" spans="2:19" x14ac:dyDescent="0.35">
      <c r="B223" s="21"/>
      <c r="C223" s="22"/>
      <c r="D223" s="23"/>
      <c r="E223" s="23"/>
      <c r="F223" s="24"/>
      <c r="G223" s="24"/>
      <c r="I223" s="20"/>
      <c r="J223" s="21"/>
      <c r="K223" s="21"/>
      <c r="L223" s="21"/>
      <c r="M223" s="34"/>
      <c r="N223" s="21"/>
      <c r="O223" s="22"/>
      <c r="P223" s="23"/>
      <c r="Q223" s="23"/>
      <c r="R223" s="21"/>
      <c r="S223" s="21"/>
    </row>
    <row r="224" spans="2:19" x14ac:dyDescent="0.35">
      <c r="B224" s="21"/>
      <c r="C224" s="22"/>
      <c r="D224" s="23"/>
      <c r="E224" s="23"/>
      <c r="F224" s="24"/>
      <c r="G224" s="24"/>
      <c r="I224" s="20"/>
      <c r="J224" s="21"/>
      <c r="K224" s="21"/>
      <c r="L224" s="21"/>
      <c r="M224" s="35"/>
      <c r="N224" s="21"/>
      <c r="O224" s="22"/>
      <c r="P224" s="23"/>
      <c r="Q224" s="23"/>
      <c r="R224" s="21"/>
      <c r="S224" s="21"/>
    </row>
    <row r="225" spans="2:19" x14ac:dyDescent="0.35">
      <c r="B225" s="21"/>
      <c r="C225" s="22"/>
      <c r="D225" s="23"/>
      <c r="E225" s="23"/>
      <c r="F225" s="24"/>
      <c r="G225" s="24"/>
      <c r="I225" s="20"/>
      <c r="J225" s="21"/>
      <c r="K225" s="21"/>
      <c r="L225" s="21"/>
      <c r="M225" s="35"/>
      <c r="N225" s="21"/>
      <c r="O225" s="22"/>
      <c r="P225" s="23"/>
      <c r="Q225" s="23"/>
      <c r="R225" s="21"/>
      <c r="S225" s="21"/>
    </row>
    <row r="226" spans="2:19" x14ac:dyDescent="0.35">
      <c r="B226" s="21"/>
      <c r="C226" s="22"/>
      <c r="D226" s="23"/>
      <c r="E226" s="23"/>
      <c r="F226" s="24"/>
      <c r="G226" s="24"/>
      <c r="I226" s="20"/>
      <c r="J226" s="21"/>
      <c r="K226" s="21"/>
      <c r="L226" s="21"/>
      <c r="M226" s="35"/>
      <c r="N226" s="21"/>
      <c r="O226" s="22"/>
      <c r="P226" s="23"/>
      <c r="Q226" s="23"/>
      <c r="R226" s="21"/>
      <c r="S226" s="21"/>
    </row>
    <row r="227" spans="2:19" x14ac:dyDescent="0.35">
      <c r="B227" s="21"/>
      <c r="C227" s="22"/>
      <c r="D227" s="23"/>
      <c r="E227" s="23"/>
      <c r="F227" s="24"/>
      <c r="G227" s="24"/>
      <c r="I227" s="20"/>
      <c r="J227" s="21"/>
      <c r="K227" s="21"/>
      <c r="L227" s="21"/>
      <c r="M227" s="35"/>
      <c r="N227" s="21"/>
      <c r="O227" s="22"/>
      <c r="P227" s="23"/>
      <c r="Q227" s="23"/>
      <c r="R227" s="21"/>
      <c r="S227" s="21"/>
    </row>
    <row r="228" spans="2:19" x14ac:dyDescent="0.35">
      <c r="B228" s="21"/>
      <c r="C228" s="22"/>
      <c r="D228" s="23"/>
      <c r="E228" s="23"/>
      <c r="F228" s="24"/>
      <c r="G228" s="24"/>
      <c r="I228" s="20"/>
      <c r="J228" s="21"/>
      <c r="K228" s="21"/>
      <c r="L228" s="21"/>
      <c r="M228" s="35"/>
      <c r="N228" s="21"/>
      <c r="O228" s="22"/>
      <c r="P228" s="23"/>
      <c r="Q228" s="23"/>
      <c r="R228" s="21"/>
      <c r="S228" s="21"/>
    </row>
    <row r="229" spans="2:19" x14ac:dyDescent="0.35">
      <c r="I229" s="20"/>
      <c r="J229" s="21"/>
      <c r="K229" s="21"/>
      <c r="L229" s="21"/>
      <c r="M229" s="35"/>
      <c r="N229" s="21"/>
      <c r="O229" s="22"/>
      <c r="P229" s="23"/>
      <c r="Q229" s="23"/>
      <c r="R229" s="21"/>
      <c r="S229" s="21"/>
    </row>
    <row r="230" spans="2:19" x14ac:dyDescent="0.35">
      <c r="I230" s="20"/>
      <c r="J230" s="21"/>
      <c r="K230" s="21"/>
      <c r="L230" s="21"/>
      <c r="M230" s="36"/>
      <c r="N230" s="21"/>
      <c r="O230" s="22"/>
      <c r="P230" s="23"/>
      <c r="Q230" s="23"/>
      <c r="R230" s="21"/>
      <c r="S230" s="21"/>
    </row>
    <row r="231" spans="2:19" x14ac:dyDescent="0.35">
      <c r="I231" s="20"/>
      <c r="J231" s="21"/>
      <c r="K231" s="21"/>
      <c r="L231" s="21"/>
      <c r="M231" s="35"/>
      <c r="N231" s="21"/>
      <c r="O231" s="22"/>
      <c r="P231" s="23"/>
      <c r="Q231" s="23"/>
      <c r="R231" s="21"/>
      <c r="S231" s="21"/>
    </row>
    <row r="232" spans="2:19" x14ac:dyDescent="0.35">
      <c r="I232" s="20"/>
      <c r="J232" s="21"/>
      <c r="K232" s="21"/>
      <c r="L232" s="21"/>
      <c r="M232" s="35"/>
      <c r="N232" s="21"/>
      <c r="O232" s="22"/>
      <c r="P232" s="23"/>
      <c r="Q232" s="23"/>
      <c r="R232" s="21"/>
      <c r="S232" s="21"/>
    </row>
    <row r="233" spans="2:19" x14ac:dyDescent="0.35">
      <c r="I233" s="20"/>
      <c r="J233" s="21"/>
      <c r="K233" s="21"/>
      <c r="L233" s="21"/>
      <c r="M233" s="36"/>
      <c r="N233" s="21"/>
      <c r="O233" s="22"/>
      <c r="P233" s="23"/>
      <c r="Q233" s="23"/>
      <c r="R233" s="21"/>
      <c r="S233" s="21"/>
    </row>
    <row r="234" spans="2:19" x14ac:dyDescent="0.35">
      <c r="I234" s="20"/>
      <c r="J234" s="21"/>
      <c r="K234" s="21"/>
      <c r="L234" s="21"/>
      <c r="M234" s="35"/>
      <c r="N234" s="21"/>
      <c r="O234" s="22"/>
      <c r="P234" s="23"/>
      <c r="Q234" s="23"/>
      <c r="R234" s="21"/>
      <c r="S234" s="21"/>
    </row>
    <row r="235" spans="2:19" x14ac:dyDescent="0.35">
      <c r="I235" s="20"/>
      <c r="J235" s="21"/>
      <c r="K235" s="21"/>
      <c r="L235" s="21"/>
      <c r="M235" s="35"/>
      <c r="N235" s="21"/>
      <c r="O235" s="22"/>
      <c r="P235" s="23"/>
      <c r="Q235" s="23"/>
      <c r="R235" s="21"/>
      <c r="S235" s="21"/>
    </row>
    <row r="236" spans="2:19" x14ac:dyDescent="0.35">
      <c r="I236" s="20"/>
      <c r="J236" s="21"/>
      <c r="K236" s="21"/>
      <c r="L236" s="21"/>
      <c r="M236" s="35"/>
      <c r="N236" s="21"/>
      <c r="O236" s="22"/>
      <c r="P236" s="23"/>
      <c r="Q236" s="23"/>
      <c r="R236" s="21"/>
      <c r="S236" s="21"/>
    </row>
    <row r="237" spans="2:19" x14ac:dyDescent="0.35">
      <c r="I237" s="20"/>
      <c r="J237" s="21"/>
      <c r="K237" s="21"/>
      <c r="L237" s="21"/>
      <c r="M237" s="35"/>
      <c r="N237" s="21"/>
      <c r="O237" s="22"/>
      <c r="P237" s="23"/>
      <c r="Q237" s="23"/>
      <c r="R237" s="21"/>
      <c r="S237" s="21"/>
    </row>
    <row r="238" spans="2:19" x14ac:dyDescent="0.35">
      <c r="I238" s="20"/>
      <c r="J238" s="21"/>
      <c r="K238" s="21"/>
      <c r="L238" s="21"/>
      <c r="M238" s="35"/>
      <c r="N238" s="21"/>
      <c r="O238" s="22"/>
      <c r="P238" s="23"/>
      <c r="Q238" s="23"/>
      <c r="R238" s="21"/>
      <c r="S238" s="21"/>
    </row>
    <row r="239" spans="2:19" x14ac:dyDescent="0.35">
      <c r="I239" s="20"/>
      <c r="J239" s="130"/>
      <c r="K239" s="34"/>
      <c r="L239" s="34"/>
      <c r="M239" s="35"/>
      <c r="N239" s="21"/>
      <c r="O239" s="22"/>
      <c r="P239" s="23"/>
      <c r="Q239" s="23"/>
      <c r="R239" s="21"/>
      <c r="S239" s="21"/>
    </row>
    <row r="240" spans="2:19" x14ac:dyDescent="0.35">
      <c r="I240" s="20"/>
      <c r="J240" s="130"/>
      <c r="K240" s="36"/>
      <c r="L240" s="34"/>
      <c r="M240" s="35"/>
      <c r="N240" s="21"/>
      <c r="O240" s="22"/>
      <c r="P240" s="23"/>
      <c r="Q240" s="23"/>
      <c r="R240" s="21"/>
      <c r="S240" s="21"/>
    </row>
    <row r="241" spans="8:19" x14ac:dyDescent="0.35">
      <c r="I241" s="20"/>
      <c r="J241" s="34"/>
      <c r="K241" s="35"/>
      <c r="L241" s="35"/>
      <c r="M241" s="35"/>
      <c r="N241" s="21"/>
      <c r="O241" s="22"/>
      <c r="P241" s="23"/>
      <c r="Q241" s="23"/>
      <c r="R241" s="21"/>
      <c r="S241" s="21"/>
    </row>
    <row r="242" spans="8:19" x14ac:dyDescent="0.35">
      <c r="I242" s="20"/>
      <c r="J242" s="34"/>
      <c r="K242" s="35"/>
      <c r="L242" s="35"/>
      <c r="M242" s="21"/>
      <c r="N242" s="21"/>
      <c r="O242" s="22"/>
      <c r="P242" s="23"/>
      <c r="Q242" s="23"/>
      <c r="R242" s="21"/>
      <c r="S242" s="21"/>
    </row>
    <row r="243" spans="8:19" x14ac:dyDescent="0.35">
      <c r="I243" s="20"/>
      <c r="J243" s="422"/>
      <c r="K243" s="35"/>
      <c r="L243" s="35"/>
      <c r="M243" s="21"/>
      <c r="N243" s="21"/>
      <c r="O243" s="22"/>
      <c r="P243" s="23"/>
      <c r="Q243" s="23"/>
      <c r="R243" s="21"/>
      <c r="S243" s="21"/>
    </row>
    <row r="244" spans="8:19" x14ac:dyDescent="0.35">
      <c r="H244" s="29"/>
      <c r="I244" s="20"/>
      <c r="J244" s="422"/>
      <c r="K244" s="35"/>
      <c r="L244" s="423"/>
      <c r="M244" s="21"/>
      <c r="N244" s="21"/>
      <c r="O244" s="22"/>
      <c r="P244" s="23"/>
      <c r="Q244" s="23"/>
      <c r="R244" s="21"/>
      <c r="S244" s="21"/>
    </row>
    <row r="245" spans="8:19" x14ac:dyDescent="0.35">
      <c r="I245" s="20"/>
      <c r="J245" s="34"/>
      <c r="K245" s="35"/>
      <c r="L245" s="35"/>
      <c r="M245" s="21"/>
      <c r="N245" s="21"/>
      <c r="O245" s="22"/>
      <c r="P245" s="23"/>
      <c r="Q245" s="23"/>
      <c r="R245" s="21"/>
      <c r="S245" s="21"/>
    </row>
    <row r="246" spans="8:19" x14ac:dyDescent="0.35">
      <c r="I246" s="20"/>
      <c r="J246" s="34"/>
      <c r="K246" s="35"/>
      <c r="L246" s="424"/>
      <c r="M246" s="21"/>
      <c r="N246" s="21"/>
      <c r="O246" s="22"/>
      <c r="P246" s="23"/>
      <c r="Q246" s="23"/>
      <c r="R246" s="21"/>
      <c r="S246" s="21"/>
    </row>
    <row r="247" spans="8:19" x14ac:dyDescent="0.35">
      <c r="I247" s="20"/>
      <c r="J247" s="34"/>
      <c r="K247" s="35"/>
      <c r="L247" s="35"/>
      <c r="M247" s="21"/>
      <c r="N247" s="21"/>
      <c r="O247" s="22"/>
      <c r="P247" s="23"/>
      <c r="Q247" s="23"/>
      <c r="R247" s="21"/>
      <c r="S247" s="21"/>
    </row>
    <row r="248" spans="8:19" x14ac:dyDescent="0.35">
      <c r="I248" s="20"/>
      <c r="J248" s="34"/>
      <c r="K248" s="35"/>
      <c r="L248" s="35"/>
      <c r="M248" s="21"/>
      <c r="N248" s="21"/>
      <c r="O248" s="22"/>
      <c r="P248" s="23"/>
      <c r="Q248" s="23"/>
      <c r="R248" s="21"/>
      <c r="S248" s="21"/>
    </row>
    <row r="249" spans="8:19" x14ac:dyDescent="0.35">
      <c r="I249" s="20"/>
      <c r="J249" s="34"/>
      <c r="K249" s="35"/>
      <c r="L249" s="35"/>
      <c r="M249" s="21"/>
      <c r="N249" s="21"/>
      <c r="O249" s="22"/>
      <c r="P249" s="23"/>
      <c r="Q249" s="23"/>
      <c r="R249" s="21"/>
      <c r="S249" s="21"/>
    </row>
    <row r="250" spans="8:19" x14ac:dyDescent="0.35">
      <c r="I250" s="20"/>
      <c r="J250" s="422"/>
      <c r="K250" s="36"/>
      <c r="L250" s="36"/>
      <c r="M250" s="21"/>
      <c r="N250" s="21"/>
      <c r="O250" s="22"/>
      <c r="P250" s="23"/>
      <c r="Q250" s="23"/>
      <c r="R250" s="21"/>
      <c r="S250" s="21"/>
    </row>
    <row r="251" spans="8:19" x14ac:dyDescent="0.35">
      <c r="I251" s="20"/>
      <c r="J251" s="34"/>
      <c r="K251" s="35"/>
      <c r="L251" s="35"/>
      <c r="M251" s="21"/>
      <c r="N251" s="21"/>
      <c r="O251" s="22"/>
      <c r="P251" s="23"/>
      <c r="Q251" s="23"/>
      <c r="R251" s="21"/>
      <c r="S251" s="21"/>
    </row>
    <row r="252" spans="8:19" x14ac:dyDescent="0.35">
      <c r="I252" s="20"/>
      <c r="J252" s="34"/>
      <c r="K252" s="35"/>
      <c r="L252" s="35"/>
      <c r="M252" s="21"/>
      <c r="N252" s="21"/>
      <c r="O252" s="22"/>
      <c r="P252" s="23"/>
      <c r="Q252" s="23"/>
      <c r="R252" s="21"/>
      <c r="S252" s="21"/>
    </row>
    <row r="253" spans="8:19" x14ac:dyDescent="0.35">
      <c r="I253" s="20"/>
      <c r="J253" s="34"/>
      <c r="K253" s="35"/>
      <c r="L253" s="35"/>
      <c r="M253" s="21"/>
      <c r="N253" s="21"/>
      <c r="O253" s="22"/>
      <c r="P253" s="23"/>
      <c r="Q253" s="23"/>
      <c r="R253" s="21"/>
      <c r="S253" s="21"/>
    </row>
    <row r="254" spans="8:19" x14ac:dyDescent="0.35">
      <c r="I254" s="20"/>
      <c r="J254" s="34"/>
      <c r="K254" s="35"/>
      <c r="L254" s="35"/>
      <c r="M254" s="21"/>
      <c r="N254" s="21"/>
      <c r="O254" s="22"/>
      <c r="P254" s="23"/>
      <c r="Q254" s="23"/>
      <c r="R254" s="21"/>
      <c r="S254" s="21"/>
    </row>
    <row r="255" spans="8:19" x14ac:dyDescent="0.35">
      <c r="I255" s="20"/>
      <c r="J255" s="34"/>
      <c r="K255" s="35"/>
      <c r="L255" s="35"/>
      <c r="M255" s="21"/>
      <c r="N255" s="21"/>
      <c r="O255" s="22"/>
      <c r="P255" s="23"/>
      <c r="Q255" s="23"/>
      <c r="R255" s="21"/>
      <c r="S255" s="21"/>
    </row>
    <row r="256" spans="8:19" x14ac:dyDescent="0.35">
      <c r="I256" s="20"/>
      <c r="J256" s="34"/>
      <c r="K256" s="35"/>
      <c r="L256" s="35"/>
      <c r="M256" s="21"/>
      <c r="N256" s="21"/>
      <c r="O256" s="22"/>
      <c r="P256" s="23"/>
      <c r="Q256" s="23"/>
      <c r="R256" s="21"/>
      <c r="S256" s="21"/>
    </row>
    <row r="257" spans="2:19" x14ac:dyDescent="0.35">
      <c r="I257" s="20"/>
      <c r="J257" s="34"/>
      <c r="K257" s="35"/>
      <c r="L257" s="35"/>
      <c r="M257" s="21"/>
      <c r="N257" s="21"/>
      <c r="O257" s="22"/>
      <c r="P257" s="23"/>
      <c r="Q257" s="23"/>
      <c r="R257" s="21"/>
      <c r="S257" s="21"/>
    </row>
    <row r="258" spans="2:19" x14ac:dyDescent="0.35">
      <c r="I258" s="20"/>
      <c r="J258" s="34"/>
      <c r="K258" s="35"/>
      <c r="L258" s="35"/>
      <c r="M258" s="21"/>
      <c r="N258" s="21"/>
      <c r="O258" s="22"/>
      <c r="P258" s="23"/>
      <c r="Q258" s="23"/>
      <c r="R258" s="21"/>
      <c r="S258" s="21"/>
    </row>
    <row r="259" spans="2:19" x14ac:dyDescent="0.35">
      <c r="I259" s="20"/>
      <c r="J259" s="21"/>
      <c r="K259" s="21"/>
      <c r="L259" s="21"/>
      <c r="M259" s="21"/>
      <c r="N259" s="21"/>
      <c r="O259" s="22"/>
      <c r="P259" s="23"/>
      <c r="Q259" s="23"/>
      <c r="R259" s="21"/>
      <c r="S259" s="21"/>
    </row>
    <row r="260" spans="2:19" x14ac:dyDescent="0.35">
      <c r="I260" s="20"/>
      <c r="J260" s="21"/>
      <c r="K260" s="21"/>
      <c r="L260" s="21"/>
      <c r="M260" s="21"/>
      <c r="N260" s="21"/>
      <c r="O260" s="22"/>
      <c r="P260" s="23"/>
      <c r="Q260" s="23"/>
      <c r="R260" s="21"/>
      <c r="S260" s="21"/>
    </row>
    <row r="261" spans="2:19" x14ac:dyDescent="0.35">
      <c r="I261" s="20"/>
      <c r="J261" s="21"/>
      <c r="K261" s="21"/>
      <c r="L261" s="21"/>
      <c r="M261" s="21"/>
      <c r="N261" s="21"/>
      <c r="O261" s="22"/>
      <c r="P261" s="23"/>
      <c r="Q261" s="23"/>
      <c r="R261" s="21"/>
      <c r="S261" s="21"/>
    </row>
    <row r="262" spans="2:19" x14ac:dyDescent="0.35">
      <c r="I262" s="20"/>
      <c r="J262" s="21"/>
      <c r="K262" s="21"/>
      <c r="L262" s="21"/>
      <c r="M262" s="21"/>
      <c r="N262" s="21"/>
      <c r="O262" s="22"/>
      <c r="P262" s="23"/>
      <c r="Q262" s="23"/>
      <c r="R262" s="21"/>
      <c r="S262" s="21"/>
    </row>
    <row r="263" spans="2:19" x14ac:dyDescent="0.35">
      <c r="I263" s="20"/>
      <c r="J263" s="21"/>
      <c r="K263" s="21"/>
      <c r="L263" s="21"/>
      <c r="M263" s="21"/>
      <c r="N263" s="21"/>
      <c r="O263" s="22"/>
      <c r="P263" s="23"/>
      <c r="Q263" s="23"/>
      <c r="R263" s="21"/>
      <c r="S263" s="21"/>
    </row>
    <row r="264" spans="2:19" x14ac:dyDescent="0.35">
      <c r="I264" s="20"/>
      <c r="J264" s="21"/>
      <c r="K264" s="21"/>
      <c r="L264" s="21"/>
      <c r="M264" s="21"/>
      <c r="N264" s="21"/>
      <c r="O264" s="22"/>
      <c r="P264" s="23"/>
      <c r="Q264" s="23"/>
      <c r="R264" s="21"/>
      <c r="S264" s="21"/>
    </row>
    <row r="265" spans="2:19" x14ac:dyDescent="0.35">
      <c r="I265" s="20"/>
      <c r="J265" s="21"/>
      <c r="K265" s="21"/>
      <c r="L265" s="21"/>
      <c r="M265" s="21"/>
      <c r="N265" s="21"/>
      <c r="O265" s="22"/>
      <c r="P265" s="23"/>
      <c r="Q265" s="23"/>
      <c r="R265" s="21"/>
      <c r="S265" s="21"/>
    </row>
    <row r="266" spans="2:19" x14ac:dyDescent="0.35">
      <c r="B266" s="21"/>
      <c r="I266" s="20"/>
      <c r="J266" s="21"/>
      <c r="K266" s="21"/>
      <c r="L266" s="21"/>
      <c r="M266" s="21"/>
      <c r="N266" s="21"/>
      <c r="O266" s="22"/>
      <c r="P266" s="23"/>
      <c r="Q266" s="23"/>
      <c r="R266" s="21"/>
      <c r="S266" s="21"/>
    </row>
    <row r="267" spans="2:19" x14ac:dyDescent="0.35">
      <c r="B267" s="21"/>
      <c r="I267" s="20"/>
      <c r="J267" s="21"/>
      <c r="K267" s="21"/>
      <c r="L267" s="21"/>
      <c r="M267" s="21"/>
      <c r="N267" s="21"/>
      <c r="O267" s="22"/>
      <c r="P267" s="23"/>
      <c r="Q267" s="23"/>
      <c r="R267" s="21"/>
      <c r="S267" s="21"/>
    </row>
    <row r="268" spans="2:19" x14ac:dyDescent="0.35">
      <c r="B268" s="21"/>
      <c r="I268" s="20"/>
      <c r="J268" s="21"/>
      <c r="K268" s="21"/>
      <c r="L268" s="21"/>
      <c r="M268" s="21"/>
      <c r="N268" s="21"/>
      <c r="O268" s="22"/>
      <c r="P268" s="23"/>
      <c r="Q268" s="23"/>
      <c r="R268" s="21"/>
      <c r="S268" s="21"/>
    </row>
    <row r="269" spans="2:19" x14ac:dyDescent="0.35">
      <c r="B269" s="21"/>
      <c r="I269" s="20"/>
      <c r="J269" s="21"/>
      <c r="K269" s="21"/>
      <c r="L269" s="21"/>
      <c r="M269" s="21"/>
      <c r="N269" s="21"/>
      <c r="O269" s="22"/>
      <c r="P269" s="23"/>
      <c r="Q269" s="23"/>
      <c r="R269" s="21"/>
      <c r="S269" s="21"/>
    </row>
    <row r="270" spans="2:19" x14ac:dyDescent="0.35">
      <c r="B270" s="21"/>
      <c r="I270" s="20"/>
      <c r="J270" s="21"/>
      <c r="K270" s="21"/>
      <c r="L270" s="21"/>
      <c r="M270" s="21"/>
      <c r="N270" s="21"/>
      <c r="O270" s="22"/>
      <c r="P270" s="23"/>
      <c r="Q270" s="23"/>
      <c r="R270" s="21"/>
      <c r="S270" s="21"/>
    </row>
    <row r="271" spans="2:19" x14ac:dyDescent="0.35">
      <c r="B271" s="21"/>
      <c r="I271" s="20"/>
      <c r="J271" s="21"/>
      <c r="K271" s="21"/>
      <c r="L271" s="21"/>
      <c r="M271" s="21"/>
      <c r="N271" s="21"/>
      <c r="O271" s="22"/>
      <c r="P271" s="23"/>
      <c r="Q271" s="23"/>
      <c r="R271" s="21"/>
      <c r="S271" s="21"/>
    </row>
    <row r="272" spans="2:19" x14ac:dyDescent="0.35">
      <c r="B272" s="21"/>
      <c r="I272" s="20"/>
      <c r="J272" s="21"/>
      <c r="K272" s="21"/>
      <c r="L272" s="21"/>
      <c r="M272" s="21"/>
      <c r="N272" s="21"/>
      <c r="O272" s="22"/>
      <c r="P272" s="23"/>
      <c r="Q272" s="23"/>
      <c r="R272" s="21"/>
      <c r="S272" s="21"/>
    </row>
    <row r="273" spans="2:19" x14ac:dyDescent="0.35">
      <c r="B273" s="21"/>
      <c r="I273" s="20"/>
      <c r="J273" s="21"/>
      <c r="K273" s="21"/>
      <c r="L273" s="21"/>
      <c r="M273" s="21"/>
      <c r="N273" s="21"/>
      <c r="O273" s="22"/>
      <c r="P273" s="23"/>
      <c r="Q273" s="23"/>
      <c r="R273" s="21"/>
      <c r="S273" s="21"/>
    </row>
    <row r="274" spans="2:19" x14ac:dyDescent="0.35">
      <c r="B274" s="21"/>
      <c r="I274" s="20"/>
      <c r="J274" s="21"/>
      <c r="K274" s="21"/>
      <c r="L274" s="21"/>
      <c r="M274" s="21"/>
      <c r="N274" s="21"/>
      <c r="O274" s="22"/>
      <c r="P274" s="23"/>
      <c r="Q274" s="23"/>
      <c r="R274" s="21"/>
      <c r="S274" s="21"/>
    </row>
    <row r="275" spans="2:19" x14ac:dyDescent="0.35">
      <c r="B275" s="21"/>
      <c r="I275" s="20"/>
      <c r="J275" s="21"/>
      <c r="K275" s="21"/>
      <c r="L275" s="21"/>
      <c r="M275" s="21"/>
      <c r="N275" s="21"/>
      <c r="O275" s="22"/>
      <c r="P275" s="23"/>
      <c r="Q275" s="23"/>
      <c r="R275" s="21"/>
      <c r="S275" s="21"/>
    </row>
    <row r="276" spans="2:19" x14ac:dyDescent="0.35">
      <c r="B276" s="21"/>
      <c r="I276" s="20"/>
      <c r="J276" s="21"/>
      <c r="K276" s="21"/>
      <c r="L276" s="21"/>
      <c r="M276" s="21"/>
      <c r="N276" s="21"/>
      <c r="O276" s="22"/>
      <c r="P276" s="23"/>
      <c r="Q276" s="23"/>
      <c r="R276" s="21"/>
      <c r="S276" s="21"/>
    </row>
    <row r="277" spans="2:19" x14ac:dyDescent="0.35">
      <c r="B277" s="21"/>
      <c r="I277" s="20"/>
      <c r="J277" s="21"/>
      <c r="K277" s="21"/>
      <c r="L277" s="21"/>
      <c r="M277" s="21"/>
      <c r="N277" s="21"/>
      <c r="O277" s="22"/>
      <c r="P277" s="23"/>
      <c r="Q277" s="23"/>
      <c r="R277" s="21"/>
      <c r="S277" s="21"/>
    </row>
    <row r="278" spans="2:19" x14ac:dyDescent="0.35">
      <c r="B278" s="21"/>
      <c r="I278" s="20"/>
      <c r="J278" s="21"/>
      <c r="K278" s="21"/>
      <c r="L278" s="21"/>
      <c r="M278" s="21"/>
      <c r="N278" s="21"/>
      <c r="O278" s="22"/>
      <c r="P278" s="23"/>
      <c r="Q278" s="23"/>
      <c r="R278" s="21"/>
      <c r="S278" s="21"/>
    </row>
    <row r="279" spans="2:19" x14ac:dyDescent="0.35">
      <c r="B279" s="21"/>
      <c r="I279" s="20"/>
      <c r="J279" s="21"/>
      <c r="K279" s="21"/>
      <c r="L279" s="21"/>
      <c r="M279" s="21"/>
      <c r="N279" s="21"/>
      <c r="O279" s="22"/>
      <c r="P279" s="23"/>
      <c r="Q279" s="23"/>
      <c r="R279" s="21"/>
      <c r="S279" s="21"/>
    </row>
    <row r="280" spans="2:19" x14ac:dyDescent="0.35">
      <c r="B280" s="21"/>
      <c r="I280" s="20"/>
      <c r="J280" s="21"/>
      <c r="K280" s="21"/>
      <c r="L280" s="21"/>
      <c r="M280" s="21"/>
      <c r="N280" s="21"/>
      <c r="O280" s="22"/>
      <c r="P280" s="23"/>
      <c r="Q280" s="23"/>
      <c r="R280" s="21"/>
      <c r="S280" s="21"/>
    </row>
    <row r="281" spans="2:19" x14ac:dyDescent="0.35">
      <c r="B281" s="21"/>
      <c r="I281" s="20"/>
      <c r="J281" s="21"/>
      <c r="K281" s="21"/>
      <c r="L281" s="21"/>
      <c r="M281" s="21"/>
      <c r="N281" s="21"/>
      <c r="O281" s="22"/>
      <c r="P281" s="23"/>
      <c r="Q281" s="23"/>
      <c r="R281" s="21"/>
      <c r="S281" s="21"/>
    </row>
    <row r="282" spans="2:19" x14ac:dyDescent="0.35">
      <c r="B282" s="21"/>
      <c r="I282" s="20"/>
      <c r="J282" s="21"/>
      <c r="K282" s="21"/>
      <c r="L282" s="21"/>
      <c r="M282" s="21"/>
      <c r="N282" s="21"/>
      <c r="O282" s="22"/>
      <c r="P282" s="23"/>
      <c r="Q282" s="23"/>
      <c r="R282" s="21"/>
      <c r="S282" s="21"/>
    </row>
    <row r="283" spans="2:19" x14ac:dyDescent="0.35">
      <c r="B283" s="21"/>
      <c r="I283" s="20"/>
      <c r="J283" s="21"/>
      <c r="K283" s="21"/>
      <c r="L283" s="21"/>
      <c r="M283" s="21"/>
      <c r="N283" s="21"/>
      <c r="O283" s="22"/>
      <c r="P283" s="23"/>
      <c r="Q283" s="23"/>
      <c r="R283" s="21"/>
      <c r="S283" s="21"/>
    </row>
    <row r="284" spans="2:19" x14ac:dyDescent="0.35">
      <c r="B284" s="21"/>
      <c r="I284" s="20"/>
      <c r="J284" s="21"/>
      <c r="K284" s="21"/>
      <c r="L284" s="21"/>
      <c r="M284" s="21"/>
      <c r="N284" s="21"/>
      <c r="O284" s="22"/>
      <c r="P284" s="23"/>
      <c r="Q284" s="23"/>
      <c r="R284" s="21"/>
      <c r="S284" s="21"/>
    </row>
    <row r="285" spans="2:19" x14ac:dyDescent="0.35">
      <c r="B285" s="21"/>
      <c r="I285" s="20"/>
      <c r="J285" s="21"/>
      <c r="K285" s="21"/>
      <c r="L285" s="21"/>
      <c r="M285" s="21"/>
      <c r="N285" s="21"/>
      <c r="O285" s="22"/>
      <c r="P285" s="23"/>
      <c r="Q285" s="23"/>
      <c r="R285" s="21"/>
      <c r="S285" s="21"/>
    </row>
    <row r="286" spans="2:19" x14ac:dyDescent="0.35">
      <c r="B286" s="21"/>
      <c r="I286" s="20"/>
      <c r="J286" s="21"/>
      <c r="K286" s="21"/>
      <c r="L286" s="21"/>
      <c r="M286" s="21"/>
      <c r="N286" s="21"/>
      <c r="O286" s="22"/>
      <c r="P286" s="23"/>
      <c r="Q286" s="23"/>
      <c r="R286" s="21"/>
      <c r="S286" s="21"/>
    </row>
    <row r="287" spans="2:19" x14ac:dyDescent="0.35">
      <c r="B287" s="21"/>
      <c r="I287" s="20"/>
      <c r="J287" s="21"/>
      <c r="K287" s="21"/>
      <c r="L287" s="21"/>
      <c r="M287" s="21"/>
      <c r="N287" s="21"/>
      <c r="O287" s="22"/>
      <c r="P287" s="23"/>
      <c r="Q287" s="23"/>
      <c r="R287" s="21"/>
      <c r="S287" s="21"/>
    </row>
    <row r="288" spans="2:19" x14ac:dyDescent="0.35">
      <c r="B288" s="21"/>
      <c r="I288" s="20"/>
      <c r="J288" s="21"/>
      <c r="K288" s="21"/>
      <c r="L288" s="21"/>
      <c r="M288" s="21"/>
      <c r="N288" s="21"/>
      <c r="O288" s="22"/>
      <c r="P288" s="23"/>
      <c r="Q288" s="23"/>
      <c r="R288" s="21"/>
      <c r="S288" s="21"/>
    </row>
    <row r="289" spans="2:19" x14ac:dyDescent="0.35">
      <c r="B289" s="21"/>
      <c r="I289" s="20"/>
      <c r="J289" s="21"/>
      <c r="K289" s="21"/>
      <c r="L289" s="21"/>
      <c r="M289" s="21"/>
      <c r="N289" s="21"/>
      <c r="O289" s="22"/>
      <c r="P289" s="23"/>
      <c r="Q289" s="23"/>
      <c r="R289" s="21"/>
      <c r="S289" s="21"/>
    </row>
    <row r="290" spans="2:19" x14ac:dyDescent="0.35">
      <c r="B290" s="21"/>
      <c r="I290" s="20"/>
      <c r="J290" s="21"/>
      <c r="K290" s="21"/>
      <c r="L290" s="21"/>
      <c r="M290" s="21"/>
      <c r="N290" s="21"/>
      <c r="O290" s="22"/>
      <c r="P290" s="23"/>
      <c r="Q290" s="23"/>
      <c r="R290" s="21"/>
      <c r="S290" s="21"/>
    </row>
    <row r="291" spans="2:19" x14ac:dyDescent="0.35">
      <c r="B291" s="21"/>
      <c r="I291" s="20"/>
      <c r="J291" s="21"/>
      <c r="K291" s="21"/>
      <c r="L291" s="21"/>
      <c r="M291" s="21"/>
      <c r="N291" s="21"/>
      <c r="O291" s="22"/>
      <c r="P291" s="23"/>
      <c r="Q291" s="23"/>
      <c r="R291" s="21"/>
      <c r="S291" s="21"/>
    </row>
    <row r="292" spans="2:19" x14ac:dyDescent="0.35">
      <c r="B292" s="21"/>
      <c r="I292" s="20"/>
      <c r="J292" s="21"/>
      <c r="K292" s="21"/>
      <c r="L292" s="21"/>
      <c r="M292" s="21"/>
      <c r="N292" s="21"/>
      <c r="O292" s="22"/>
      <c r="P292" s="23"/>
      <c r="Q292" s="23"/>
      <c r="R292" s="21"/>
      <c r="S292" s="21"/>
    </row>
    <row r="293" spans="2:19" x14ac:dyDescent="0.35">
      <c r="B293" s="21"/>
      <c r="I293" s="20"/>
      <c r="J293" s="21"/>
      <c r="K293" s="21"/>
      <c r="L293" s="21"/>
      <c r="M293" s="21"/>
      <c r="N293" s="21"/>
      <c r="O293" s="22"/>
      <c r="P293" s="23"/>
      <c r="Q293" s="23"/>
      <c r="R293" s="21"/>
      <c r="S293" s="21"/>
    </row>
    <row r="294" spans="2:19" x14ac:dyDescent="0.35">
      <c r="B294" s="21"/>
      <c r="I294" s="20"/>
      <c r="J294" s="21"/>
      <c r="K294" s="21"/>
      <c r="L294" s="21"/>
      <c r="M294" s="21"/>
      <c r="N294" s="21"/>
      <c r="O294" s="22"/>
      <c r="P294" s="23"/>
      <c r="Q294" s="23"/>
      <c r="R294" s="21"/>
      <c r="S294" s="21"/>
    </row>
    <row r="295" spans="2:19" x14ac:dyDescent="0.35">
      <c r="B295" s="21"/>
      <c r="I295" s="20"/>
      <c r="J295" s="21"/>
      <c r="K295" s="21"/>
      <c r="L295" s="21"/>
      <c r="M295" s="21"/>
      <c r="N295" s="21"/>
      <c r="O295" s="22"/>
      <c r="P295" s="23"/>
      <c r="Q295" s="23"/>
      <c r="R295" s="21"/>
      <c r="S295" s="21"/>
    </row>
    <row r="296" spans="2:19" x14ac:dyDescent="0.35">
      <c r="B296" s="21"/>
      <c r="I296" s="20"/>
      <c r="J296" s="21"/>
      <c r="K296" s="21"/>
      <c r="L296" s="21"/>
      <c r="M296" s="21"/>
      <c r="N296" s="21"/>
      <c r="O296" s="22"/>
      <c r="P296" s="23"/>
      <c r="Q296" s="23"/>
      <c r="R296" s="21"/>
      <c r="S296" s="21"/>
    </row>
    <row r="297" spans="2:19" x14ac:dyDescent="0.35">
      <c r="B297" s="21"/>
      <c r="I297" s="20"/>
      <c r="J297" s="21"/>
      <c r="K297" s="21"/>
      <c r="L297" s="21"/>
      <c r="M297" s="21"/>
      <c r="N297" s="21"/>
      <c r="O297" s="22"/>
      <c r="P297" s="23"/>
      <c r="Q297" s="23"/>
      <c r="R297" s="21"/>
      <c r="S297" s="21"/>
    </row>
    <row r="298" spans="2:19" x14ac:dyDescent="0.35">
      <c r="B298" s="21"/>
      <c r="I298" s="20"/>
      <c r="J298" s="21"/>
      <c r="K298" s="21"/>
      <c r="L298" s="21"/>
      <c r="M298" s="21"/>
      <c r="N298" s="21"/>
      <c r="O298" s="22"/>
      <c r="P298" s="23"/>
      <c r="Q298" s="23"/>
      <c r="R298" s="21"/>
      <c r="S298" s="21"/>
    </row>
    <row r="299" spans="2:19" x14ac:dyDescent="0.35">
      <c r="B299" s="21"/>
      <c r="I299" s="20"/>
      <c r="J299" s="21"/>
      <c r="K299" s="21"/>
      <c r="L299" s="21"/>
      <c r="M299" s="21"/>
      <c r="N299" s="21"/>
      <c r="O299" s="22"/>
      <c r="P299" s="23"/>
      <c r="Q299" s="23"/>
      <c r="R299" s="21"/>
      <c r="S299" s="21"/>
    </row>
    <row r="300" spans="2:19" x14ac:dyDescent="0.35">
      <c r="B300" s="21"/>
      <c r="I300" s="20"/>
      <c r="J300" s="21"/>
      <c r="K300" s="21"/>
      <c r="L300" s="21"/>
      <c r="M300" s="21"/>
      <c r="N300" s="21"/>
      <c r="O300" s="22"/>
      <c r="P300" s="23"/>
      <c r="Q300" s="23"/>
      <c r="R300" s="21"/>
      <c r="S300" s="21"/>
    </row>
    <row r="301" spans="2:19" x14ac:dyDescent="0.35">
      <c r="B301" s="21"/>
      <c r="H301" s="2"/>
      <c r="I301" s="20"/>
      <c r="J301" s="21"/>
      <c r="K301" s="21"/>
      <c r="L301" s="21"/>
      <c r="M301" s="21"/>
      <c r="N301" s="21"/>
      <c r="O301" s="22"/>
      <c r="P301" s="21"/>
      <c r="Q301" s="21"/>
      <c r="R301" s="21"/>
      <c r="S301" s="21"/>
    </row>
    <row r="302" spans="2:19" x14ac:dyDescent="0.35">
      <c r="B302" s="21"/>
      <c r="I302" s="20"/>
      <c r="J302" s="21"/>
      <c r="K302" s="21"/>
      <c r="L302" s="21"/>
      <c r="M302" s="21"/>
      <c r="N302" s="21"/>
      <c r="O302" s="22"/>
      <c r="P302" s="21"/>
      <c r="Q302" s="21"/>
      <c r="R302" s="21"/>
      <c r="S302" s="21"/>
    </row>
    <row r="303" spans="2:19" x14ac:dyDescent="0.35">
      <c r="B303" s="21"/>
      <c r="H303" s="22"/>
      <c r="I303" s="20"/>
      <c r="J303" s="21"/>
      <c r="K303" s="21"/>
      <c r="L303" s="21"/>
      <c r="M303" s="21"/>
      <c r="N303" s="21"/>
      <c r="O303" s="21"/>
      <c r="P303" s="21"/>
      <c r="Q303" s="21"/>
      <c r="R303" s="21"/>
      <c r="S303" s="21"/>
    </row>
    <row r="304" spans="2:19" x14ac:dyDescent="0.35">
      <c r="B304" s="21"/>
      <c r="H304" s="22"/>
      <c r="I304" s="23"/>
      <c r="J304" s="23"/>
      <c r="K304" s="24"/>
      <c r="L304" s="24"/>
      <c r="M304" s="24"/>
      <c r="N304" s="83"/>
      <c r="O304" s="21"/>
      <c r="P304" s="21"/>
      <c r="Q304" s="21"/>
      <c r="R304" s="21"/>
      <c r="S304" s="21"/>
    </row>
    <row r="305" spans="2:19" x14ac:dyDescent="0.35">
      <c r="B305" s="21"/>
      <c r="H305" s="21"/>
      <c r="I305" s="22"/>
      <c r="J305" s="23"/>
      <c r="K305" s="23"/>
      <c r="L305" s="24"/>
      <c r="M305" s="24"/>
      <c r="N305" s="24"/>
      <c r="O305" s="83"/>
      <c r="P305" s="21"/>
      <c r="Q305" s="21"/>
      <c r="R305" s="21"/>
      <c r="S305" s="21"/>
    </row>
    <row r="306" spans="2:19" x14ac:dyDescent="0.35">
      <c r="B306" s="21"/>
      <c r="H306" s="21"/>
      <c r="I306" s="22"/>
      <c r="J306" s="23"/>
      <c r="K306" s="23"/>
      <c r="L306" s="24"/>
      <c r="M306" s="24"/>
      <c r="N306" s="24"/>
      <c r="O306" s="83"/>
      <c r="P306" s="21"/>
      <c r="Q306" s="21"/>
      <c r="R306" s="21"/>
      <c r="S306" s="21"/>
    </row>
    <row r="307" spans="2:19" x14ac:dyDescent="0.35">
      <c r="B307" s="21"/>
      <c r="H307" s="21"/>
      <c r="I307" s="22"/>
      <c r="J307" s="23"/>
      <c r="K307" s="23"/>
      <c r="L307" s="24"/>
      <c r="M307" s="24"/>
      <c r="N307" s="24"/>
      <c r="O307" s="83"/>
      <c r="P307" s="21"/>
      <c r="Q307" s="21"/>
      <c r="R307" s="21"/>
      <c r="S307" s="21"/>
    </row>
    <row r="308" spans="2:19" x14ac:dyDescent="0.35">
      <c r="B308" s="21"/>
      <c r="H308" s="21"/>
      <c r="I308" s="22"/>
      <c r="J308" s="23"/>
      <c r="K308" s="23"/>
      <c r="L308" s="24"/>
      <c r="M308" s="24"/>
      <c r="N308" s="24"/>
      <c r="O308" s="83"/>
      <c r="P308" s="21"/>
      <c r="Q308" s="21"/>
      <c r="R308" s="21"/>
      <c r="S308" s="21"/>
    </row>
    <row r="309" spans="2:19" x14ac:dyDescent="0.35">
      <c r="B309" s="21"/>
      <c r="H309" s="21"/>
      <c r="I309" s="22"/>
      <c r="J309" s="23"/>
      <c r="K309" s="23"/>
      <c r="L309" s="24"/>
      <c r="M309" s="24"/>
      <c r="N309" s="24"/>
      <c r="O309" s="83"/>
      <c r="P309" s="21"/>
      <c r="Q309" s="21"/>
      <c r="R309" s="21"/>
      <c r="S309" s="21"/>
    </row>
    <row r="310" spans="2:19" ht="16" thickBot="1" x14ac:dyDescent="0.4">
      <c r="B310" s="13" t="s">
        <v>791</v>
      </c>
      <c r="H310" s="21"/>
      <c r="I310" s="22"/>
      <c r="J310" s="23"/>
      <c r="K310" s="23"/>
      <c r="L310" s="24"/>
      <c r="M310" s="24"/>
      <c r="N310" s="24"/>
      <c r="O310" s="83"/>
      <c r="P310" s="21"/>
      <c r="Q310" s="21"/>
      <c r="R310" s="21"/>
      <c r="S310" s="21"/>
    </row>
    <row r="311" spans="2:19" ht="16" thickBot="1" x14ac:dyDescent="0.4">
      <c r="B311" s="48" t="s">
        <v>732</v>
      </c>
      <c r="C311" s="49"/>
      <c r="D311" s="49"/>
      <c r="E311" s="49"/>
      <c r="F311" s="50"/>
      <c r="H311" s="21"/>
      <c r="I311" s="22"/>
      <c r="J311" s="23"/>
      <c r="K311" s="23"/>
      <c r="L311" s="24"/>
      <c r="M311" s="24"/>
      <c r="N311" s="24"/>
      <c r="O311" s="83"/>
      <c r="P311" s="21"/>
      <c r="Q311" s="21"/>
      <c r="R311" s="21"/>
      <c r="S311" s="21"/>
    </row>
    <row r="312" spans="2:19" x14ac:dyDescent="0.35">
      <c r="H312" s="21"/>
      <c r="I312" s="22"/>
      <c r="J312" s="23"/>
      <c r="K312" s="23"/>
      <c r="L312" s="24"/>
      <c r="M312" s="24"/>
      <c r="N312" s="24"/>
      <c r="O312" s="83"/>
      <c r="P312" s="21"/>
      <c r="Q312" s="21"/>
      <c r="R312" s="21"/>
      <c r="S312" s="21"/>
    </row>
    <row r="313" spans="2:19" x14ac:dyDescent="0.35">
      <c r="H313" s="21"/>
      <c r="I313" s="22"/>
      <c r="J313" s="23"/>
      <c r="K313" s="23"/>
      <c r="L313" s="24"/>
      <c r="M313" s="24"/>
      <c r="N313" s="24"/>
      <c r="O313" s="83"/>
      <c r="P313" s="21"/>
      <c r="Q313" s="21"/>
      <c r="R313" s="21"/>
      <c r="S313" s="21"/>
    </row>
    <row r="314" spans="2:19" x14ac:dyDescent="0.35">
      <c r="H314" s="21"/>
      <c r="I314" s="22"/>
      <c r="J314" s="23"/>
      <c r="K314" s="23"/>
      <c r="L314" s="24"/>
      <c r="M314" s="24"/>
      <c r="N314" s="24"/>
      <c r="O314" s="83"/>
      <c r="P314" s="21"/>
      <c r="Q314" s="21"/>
      <c r="R314" s="21"/>
      <c r="S314" s="21"/>
    </row>
    <row r="315" spans="2:19" x14ac:dyDescent="0.35">
      <c r="H315" s="21"/>
      <c r="I315" s="22"/>
      <c r="J315" s="23"/>
      <c r="K315" s="23"/>
      <c r="L315" s="24"/>
      <c r="M315" s="24"/>
      <c r="N315" s="24"/>
      <c r="O315" s="83"/>
      <c r="P315" s="21"/>
      <c r="Q315" s="21"/>
      <c r="R315" s="21"/>
      <c r="S315" s="21"/>
    </row>
    <row r="316" spans="2:19" x14ac:dyDescent="0.35">
      <c r="H316" s="21"/>
      <c r="I316" s="22"/>
      <c r="J316" s="23"/>
      <c r="K316" s="23"/>
      <c r="L316" s="24"/>
      <c r="M316" s="24"/>
      <c r="N316" s="24"/>
      <c r="O316" s="83"/>
      <c r="P316" s="21"/>
      <c r="Q316" s="21"/>
      <c r="R316" s="21"/>
      <c r="S316" s="21"/>
    </row>
    <row r="317" spans="2:19" x14ac:dyDescent="0.35">
      <c r="H317" s="21"/>
      <c r="I317" s="22"/>
      <c r="J317" s="23"/>
      <c r="K317" s="23"/>
      <c r="L317" s="24"/>
      <c r="M317" s="24"/>
      <c r="N317" s="24"/>
      <c r="O317" s="83"/>
      <c r="P317" s="21"/>
      <c r="Q317" s="21"/>
      <c r="R317" s="21"/>
      <c r="S317" s="21"/>
    </row>
    <row r="318" spans="2:19" x14ac:dyDescent="0.35">
      <c r="H318" s="21"/>
      <c r="I318" s="22"/>
      <c r="J318" s="23"/>
      <c r="K318" s="23"/>
      <c r="L318" s="24"/>
      <c r="M318" s="24"/>
      <c r="N318" s="24"/>
      <c r="O318" s="83"/>
      <c r="P318" s="21"/>
      <c r="Q318" s="21"/>
      <c r="R318" s="21"/>
      <c r="S318" s="21"/>
    </row>
    <row r="319" spans="2:19" x14ac:dyDescent="0.35">
      <c r="H319" s="21"/>
      <c r="I319" s="22"/>
      <c r="J319" s="23"/>
      <c r="K319" s="23"/>
      <c r="L319" s="24"/>
      <c r="M319" s="24"/>
      <c r="N319" s="24"/>
      <c r="O319" s="83"/>
      <c r="P319" s="21"/>
      <c r="Q319" s="21"/>
      <c r="R319" s="21"/>
      <c r="S319" s="21"/>
    </row>
    <row r="320" spans="2:19" x14ac:dyDescent="0.35">
      <c r="H320" s="21"/>
      <c r="I320" s="22"/>
      <c r="J320" s="23"/>
      <c r="K320" s="23"/>
      <c r="L320" s="24"/>
      <c r="M320" s="24"/>
      <c r="N320" s="24"/>
      <c r="O320" s="83"/>
      <c r="P320" s="21"/>
      <c r="Q320" s="21"/>
      <c r="R320" s="21"/>
      <c r="S320" s="21"/>
    </row>
    <row r="321" spans="8:19" x14ac:dyDescent="0.35">
      <c r="H321" s="21"/>
      <c r="I321" s="22"/>
      <c r="J321" s="23"/>
      <c r="K321" s="23"/>
      <c r="L321" s="24"/>
      <c r="M321" s="24"/>
      <c r="N321" s="24"/>
      <c r="O321" s="83"/>
      <c r="P321" s="21"/>
      <c r="Q321" s="21"/>
      <c r="R321" s="21"/>
      <c r="S321" s="21"/>
    </row>
    <row r="322" spans="8:19" x14ac:dyDescent="0.35">
      <c r="H322" s="21"/>
      <c r="I322" s="22"/>
      <c r="J322" s="23"/>
      <c r="K322" s="23"/>
      <c r="L322" s="24"/>
      <c r="M322" s="24"/>
      <c r="N322" s="24"/>
      <c r="O322" s="83"/>
      <c r="P322" s="21"/>
      <c r="Q322" s="21"/>
      <c r="R322" s="21"/>
      <c r="S322" s="21"/>
    </row>
    <row r="323" spans="8:19" x14ac:dyDescent="0.35">
      <c r="H323" s="21"/>
      <c r="I323" s="22"/>
      <c r="J323" s="23"/>
      <c r="K323" s="23"/>
      <c r="L323" s="24"/>
      <c r="M323" s="24"/>
      <c r="N323" s="24"/>
      <c r="O323" s="83"/>
      <c r="P323" s="21"/>
      <c r="Q323" s="21"/>
      <c r="R323" s="21"/>
      <c r="S323" s="21"/>
    </row>
    <row r="324" spans="8:19" x14ac:dyDescent="0.35">
      <c r="H324" s="21"/>
      <c r="I324" s="22"/>
      <c r="J324" s="23"/>
      <c r="K324" s="23"/>
      <c r="L324" s="24"/>
      <c r="M324" s="24"/>
      <c r="N324" s="24"/>
      <c r="O324" s="83"/>
      <c r="P324" s="21"/>
      <c r="Q324" s="21"/>
      <c r="R324" s="21"/>
      <c r="S324" s="21"/>
    </row>
    <row r="325" spans="8:19" x14ac:dyDescent="0.35">
      <c r="H325" s="21"/>
      <c r="I325" s="22"/>
      <c r="J325" s="23"/>
      <c r="K325" s="23"/>
      <c r="L325" s="24"/>
      <c r="M325" s="24"/>
      <c r="N325" s="24"/>
      <c r="O325" s="83"/>
      <c r="P325" s="21"/>
      <c r="Q325" s="21"/>
      <c r="R325" s="21"/>
      <c r="S325" s="21"/>
    </row>
    <row r="326" spans="8:19" x14ac:dyDescent="0.35">
      <c r="H326" s="21"/>
      <c r="I326" s="22"/>
      <c r="J326" s="23"/>
      <c r="K326" s="23"/>
      <c r="L326" s="24"/>
      <c r="M326" s="24"/>
      <c r="N326" s="24"/>
      <c r="O326" s="83"/>
      <c r="P326" s="21"/>
      <c r="Q326" s="21"/>
      <c r="R326" s="21"/>
      <c r="S326" s="21"/>
    </row>
    <row r="327" spans="8:19" x14ac:dyDescent="0.35">
      <c r="H327" s="21"/>
      <c r="I327" s="22"/>
      <c r="J327" s="23"/>
      <c r="K327" s="23"/>
      <c r="L327" s="24"/>
      <c r="M327" s="24"/>
      <c r="N327" s="24"/>
      <c r="O327" s="83"/>
      <c r="P327" s="21"/>
      <c r="Q327" s="21"/>
      <c r="R327" s="21"/>
      <c r="S327" s="21"/>
    </row>
    <row r="328" spans="8:19" x14ac:dyDescent="0.35">
      <c r="H328" s="21"/>
      <c r="I328" s="22"/>
      <c r="J328" s="23"/>
      <c r="K328" s="23"/>
      <c r="L328" s="24"/>
      <c r="M328" s="24"/>
      <c r="N328" s="24"/>
      <c r="O328" s="83"/>
      <c r="P328" s="21"/>
      <c r="Q328" s="21"/>
      <c r="R328" s="21"/>
      <c r="S328" s="21"/>
    </row>
    <row r="329" spans="8:19" x14ac:dyDescent="0.35">
      <c r="H329" s="21"/>
      <c r="I329" s="22"/>
      <c r="J329" s="23"/>
      <c r="K329" s="23"/>
      <c r="L329" s="24"/>
      <c r="M329" s="24"/>
      <c r="N329" s="24"/>
      <c r="O329" s="83"/>
      <c r="P329" s="21"/>
      <c r="Q329" s="21"/>
      <c r="R329" s="21"/>
      <c r="S329" s="21"/>
    </row>
    <row r="330" spans="8:19" x14ac:dyDescent="0.35">
      <c r="H330" s="21"/>
      <c r="I330" s="22"/>
      <c r="J330" s="23"/>
      <c r="K330" s="23"/>
      <c r="L330" s="24"/>
      <c r="M330" s="24"/>
      <c r="N330" s="24"/>
      <c r="O330" s="83"/>
      <c r="P330" s="21"/>
      <c r="Q330" s="21"/>
      <c r="R330" s="21"/>
      <c r="S330" s="21"/>
    </row>
    <row r="331" spans="8:19" x14ac:dyDescent="0.35">
      <c r="H331" s="21"/>
      <c r="I331" s="22"/>
      <c r="J331" s="23"/>
      <c r="K331" s="23"/>
      <c r="L331" s="24"/>
      <c r="M331" s="24"/>
      <c r="N331" s="24"/>
      <c r="O331" s="83"/>
      <c r="P331" s="21"/>
      <c r="Q331" s="21"/>
      <c r="R331" s="21"/>
      <c r="S331" s="21"/>
    </row>
    <row r="332" spans="8:19" x14ac:dyDescent="0.35">
      <c r="H332" s="21"/>
      <c r="I332" s="22"/>
      <c r="J332" s="23"/>
      <c r="K332" s="23"/>
      <c r="L332" s="24"/>
      <c r="M332" s="24"/>
      <c r="N332" s="24"/>
      <c r="O332" s="83"/>
      <c r="P332" s="21"/>
      <c r="Q332" s="21"/>
      <c r="R332" s="21"/>
      <c r="S332" s="21"/>
    </row>
    <row r="333" spans="8:19" x14ac:dyDescent="0.35">
      <c r="H333" s="21"/>
      <c r="I333" s="22"/>
      <c r="J333" s="23"/>
      <c r="K333" s="23"/>
      <c r="L333" s="24"/>
      <c r="M333" s="24"/>
      <c r="N333" s="24"/>
      <c r="O333" s="83"/>
      <c r="P333" s="21"/>
      <c r="Q333" s="21"/>
      <c r="R333" s="21"/>
      <c r="S333" s="21"/>
    </row>
    <row r="334" spans="8:19" x14ac:dyDescent="0.35">
      <c r="H334" s="21"/>
      <c r="I334" s="22"/>
      <c r="J334" s="23"/>
      <c r="K334" s="23"/>
      <c r="L334" s="24"/>
      <c r="M334" s="24"/>
      <c r="N334" s="24"/>
      <c r="O334" s="83"/>
      <c r="P334" s="21"/>
      <c r="Q334" s="21"/>
      <c r="R334" s="21"/>
      <c r="S334" s="21"/>
    </row>
    <row r="335" spans="8:19" x14ac:dyDescent="0.35">
      <c r="H335" s="21"/>
      <c r="I335" s="22"/>
      <c r="J335" s="23"/>
      <c r="K335" s="23"/>
      <c r="L335" s="24"/>
      <c r="M335" s="24"/>
      <c r="N335" s="24"/>
      <c r="O335" s="83"/>
      <c r="P335" s="21"/>
      <c r="Q335" s="21"/>
      <c r="R335" s="21"/>
      <c r="S335" s="21"/>
    </row>
    <row r="336" spans="8:19" x14ac:dyDescent="0.35">
      <c r="H336" s="21"/>
      <c r="I336" s="22"/>
      <c r="J336" s="23"/>
      <c r="K336" s="23"/>
      <c r="L336" s="24"/>
      <c r="M336" s="24"/>
      <c r="N336" s="24"/>
      <c r="O336" s="83"/>
      <c r="P336" s="21"/>
      <c r="Q336" s="21"/>
      <c r="R336" s="21"/>
      <c r="S336" s="21"/>
    </row>
    <row r="337" spans="2:19" x14ac:dyDescent="0.35">
      <c r="H337" s="21"/>
      <c r="I337" s="22"/>
      <c r="J337" s="23"/>
      <c r="K337" s="23"/>
      <c r="L337" s="24"/>
      <c r="M337" s="24"/>
      <c r="N337" s="24"/>
      <c r="O337" s="83"/>
      <c r="P337" s="21"/>
      <c r="Q337" s="21"/>
      <c r="R337" s="21"/>
      <c r="S337" s="21"/>
    </row>
    <row r="338" spans="2:19" x14ac:dyDescent="0.35">
      <c r="H338" s="21"/>
      <c r="I338" s="22"/>
      <c r="J338" s="23"/>
      <c r="K338" s="23"/>
      <c r="L338" s="24"/>
      <c r="M338" s="24"/>
      <c r="N338" s="24"/>
      <c r="O338" s="83"/>
      <c r="P338" s="21"/>
      <c r="Q338" s="21"/>
      <c r="R338" s="21"/>
      <c r="S338" s="21"/>
    </row>
    <row r="339" spans="2:19" x14ac:dyDescent="0.35">
      <c r="H339" s="21"/>
      <c r="I339" s="22"/>
      <c r="J339" s="23"/>
      <c r="K339" s="23"/>
      <c r="L339" s="24"/>
      <c r="M339" s="24"/>
      <c r="N339" s="24"/>
      <c r="O339" s="83"/>
      <c r="P339" s="21"/>
      <c r="Q339" s="21"/>
      <c r="R339" s="21"/>
      <c r="S339" s="21"/>
    </row>
    <row r="340" spans="2:19" x14ac:dyDescent="0.35">
      <c r="H340" s="21"/>
      <c r="I340" s="22"/>
      <c r="J340" s="23"/>
      <c r="K340" s="23"/>
      <c r="L340" s="24"/>
      <c r="M340" s="24"/>
      <c r="N340" s="24"/>
      <c r="O340" s="83"/>
      <c r="P340" s="21"/>
      <c r="Q340" s="21"/>
      <c r="R340" s="21"/>
      <c r="S340" s="21"/>
    </row>
    <row r="341" spans="2:19" x14ac:dyDescent="0.35">
      <c r="H341" s="21"/>
      <c r="I341" s="22"/>
      <c r="J341" s="23"/>
      <c r="K341" s="23"/>
      <c r="L341" s="24"/>
      <c r="M341" s="24"/>
      <c r="N341" s="24"/>
      <c r="O341" s="83"/>
      <c r="P341" s="21"/>
      <c r="Q341" s="21"/>
      <c r="R341" s="21"/>
      <c r="S341" s="21"/>
    </row>
    <row r="342" spans="2:19" x14ac:dyDescent="0.35">
      <c r="H342" s="21"/>
      <c r="I342" s="22"/>
      <c r="J342" s="23"/>
      <c r="K342" s="23"/>
      <c r="L342" s="24"/>
      <c r="M342" s="24"/>
      <c r="N342" s="24"/>
      <c r="O342" s="83"/>
      <c r="P342" s="21"/>
      <c r="Q342" s="21"/>
      <c r="R342" s="21"/>
      <c r="S342" s="21"/>
    </row>
    <row r="343" spans="2:19" x14ac:dyDescent="0.35">
      <c r="H343" s="21"/>
      <c r="I343" s="22"/>
      <c r="J343" s="23"/>
      <c r="K343" s="23"/>
      <c r="L343" s="24"/>
      <c r="M343" s="24"/>
      <c r="N343" s="24"/>
      <c r="O343" s="83"/>
      <c r="P343" s="21"/>
      <c r="Q343" s="21"/>
      <c r="R343" s="21"/>
      <c r="S343" s="21"/>
    </row>
    <row r="344" spans="2:19" x14ac:dyDescent="0.35">
      <c r="H344" s="21"/>
      <c r="I344" s="22"/>
      <c r="J344" s="23"/>
      <c r="K344" s="23"/>
      <c r="L344" s="24"/>
      <c r="M344" s="24"/>
      <c r="N344" s="24"/>
      <c r="O344" s="83"/>
      <c r="P344" s="21"/>
      <c r="Q344" s="21"/>
      <c r="R344" s="21"/>
      <c r="S344" s="21"/>
    </row>
    <row r="345" spans="2:19" x14ac:dyDescent="0.35">
      <c r="H345" s="21"/>
      <c r="I345" s="22"/>
      <c r="J345" s="23"/>
      <c r="K345" s="23"/>
      <c r="L345" s="24"/>
      <c r="M345" s="24"/>
      <c r="N345" s="24"/>
      <c r="O345" s="83"/>
      <c r="P345" s="21"/>
      <c r="Q345" s="21"/>
      <c r="R345" s="21"/>
      <c r="S345" s="21"/>
    </row>
    <row r="346" spans="2:19" x14ac:dyDescent="0.35">
      <c r="H346" s="21"/>
      <c r="I346" s="22"/>
      <c r="J346" s="23"/>
      <c r="K346" s="23"/>
      <c r="L346" s="24"/>
      <c r="M346" s="24"/>
      <c r="N346" s="24"/>
      <c r="O346" s="83"/>
      <c r="P346" s="21"/>
      <c r="Q346" s="21"/>
      <c r="R346" s="21"/>
      <c r="S346" s="21"/>
    </row>
    <row r="347" spans="2:19" x14ac:dyDescent="0.35">
      <c r="H347" s="21"/>
      <c r="I347" s="22"/>
      <c r="J347" s="23"/>
      <c r="K347" s="23"/>
      <c r="L347" s="24"/>
      <c r="M347" s="24"/>
      <c r="N347" s="24"/>
      <c r="O347" s="83"/>
      <c r="P347" s="21"/>
      <c r="Q347" s="21"/>
      <c r="R347" s="21"/>
      <c r="S347" s="21"/>
    </row>
    <row r="348" spans="2:19" ht="18" x14ac:dyDescent="0.4">
      <c r="B348" s="3" t="s">
        <v>0</v>
      </c>
      <c r="G348" s="21"/>
      <c r="H348" s="21"/>
      <c r="I348" s="22"/>
      <c r="J348" s="23"/>
      <c r="K348" s="23"/>
      <c r="L348" s="24"/>
      <c r="M348" s="24"/>
      <c r="N348" s="24"/>
      <c r="O348" s="83"/>
      <c r="P348" s="21"/>
      <c r="Q348" s="21"/>
      <c r="R348" s="21"/>
      <c r="S348" s="21"/>
    </row>
    <row r="349" spans="2:19" x14ac:dyDescent="0.35">
      <c r="G349" s="21"/>
      <c r="H349" s="21"/>
      <c r="I349" s="22"/>
      <c r="J349" s="23"/>
      <c r="K349" s="23"/>
      <c r="L349" s="24"/>
      <c r="M349" s="24"/>
      <c r="N349" s="24"/>
      <c r="O349" s="83"/>
      <c r="P349" s="21"/>
      <c r="Q349" s="21"/>
      <c r="R349" s="21"/>
      <c r="S349" s="21"/>
    </row>
    <row r="350" spans="2:19" x14ac:dyDescent="0.35">
      <c r="G350" s="21"/>
      <c r="H350" s="21"/>
      <c r="I350" s="22"/>
      <c r="J350" s="23"/>
      <c r="K350" s="23"/>
      <c r="L350" s="24"/>
      <c r="M350" s="24"/>
      <c r="N350" s="24"/>
      <c r="O350" s="83"/>
      <c r="P350" s="21"/>
      <c r="Q350" s="21"/>
      <c r="R350" s="21"/>
      <c r="S350" s="21"/>
    </row>
    <row r="351" spans="2:19" x14ac:dyDescent="0.35">
      <c r="G351" s="21"/>
      <c r="H351" s="21"/>
      <c r="I351" s="22"/>
      <c r="J351" s="23"/>
      <c r="K351" s="23"/>
      <c r="L351" s="24"/>
      <c r="M351" s="24"/>
      <c r="N351" s="24"/>
      <c r="O351" s="83"/>
      <c r="P351" s="21"/>
      <c r="Q351" s="21"/>
      <c r="R351" s="21"/>
      <c r="S351" s="21"/>
    </row>
    <row r="352" spans="2:19" x14ac:dyDescent="0.35">
      <c r="G352" s="21"/>
      <c r="H352" s="21"/>
      <c r="I352" s="22"/>
      <c r="J352" s="23"/>
      <c r="K352" s="23"/>
      <c r="L352" s="24"/>
      <c r="M352" s="24"/>
      <c r="N352" s="24"/>
      <c r="O352" s="83"/>
      <c r="P352" s="21"/>
      <c r="Q352" s="21"/>
      <c r="R352" s="21"/>
      <c r="S352" s="21"/>
    </row>
    <row r="353" spans="2:19" x14ac:dyDescent="0.35">
      <c r="G353" s="21"/>
      <c r="H353" s="21"/>
      <c r="I353" s="22"/>
      <c r="J353" s="23"/>
      <c r="K353" s="23"/>
      <c r="L353" s="24"/>
      <c r="M353" s="24"/>
      <c r="N353" s="24"/>
      <c r="O353" s="83"/>
      <c r="P353" s="21"/>
      <c r="Q353" s="21"/>
      <c r="R353" s="21"/>
      <c r="S353" s="21"/>
    </row>
    <row r="354" spans="2:19" x14ac:dyDescent="0.35">
      <c r="G354" s="21"/>
      <c r="H354" s="21"/>
      <c r="I354" s="22"/>
      <c r="J354" s="23"/>
      <c r="K354" s="23"/>
      <c r="L354" s="24"/>
      <c r="M354" s="24"/>
      <c r="N354" s="24"/>
      <c r="O354" s="83"/>
      <c r="P354" s="21"/>
      <c r="Q354" s="21"/>
      <c r="R354" s="21"/>
      <c r="S354" s="21"/>
    </row>
    <row r="355" spans="2:19" x14ac:dyDescent="0.35">
      <c r="G355" s="21"/>
      <c r="H355" s="21"/>
      <c r="I355" s="22"/>
      <c r="J355" s="23"/>
      <c r="K355" s="23"/>
      <c r="L355" s="24"/>
      <c r="M355" s="24"/>
      <c r="N355" s="24"/>
      <c r="O355" s="83"/>
      <c r="P355" s="21"/>
      <c r="Q355" s="21"/>
      <c r="R355" s="21"/>
      <c r="S355" s="21"/>
    </row>
    <row r="356" spans="2:19" x14ac:dyDescent="0.35">
      <c r="G356" s="21"/>
      <c r="H356" s="21"/>
      <c r="I356" s="22"/>
      <c r="J356" s="23"/>
      <c r="K356" s="23"/>
      <c r="L356" s="24"/>
      <c r="M356" s="24"/>
      <c r="N356" s="24"/>
      <c r="O356" s="83"/>
      <c r="P356" s="21"/>
      <c r="Q356" s="21"/>
      <c r="R356" s="21"/>
      <c r="S356" s="21"/>
    </row>
    <row r="357" spans="2:19" x14ac:dyDescent="0.35">
      <c r="G357" s="21"/>
      <c r="H357" s="21"/>
      <c r="I357" s="22"/>
      <c r="J357" s="23"/>
      <c r="K357" s="23"/>
      <c r="L357" s="24"/>
      <c r="M357" s="24"/>
      <c r="N357" s="24"/>
      <c r="O357" s="83"/>
      <c r="P357" s="21"/>
      <c r="Q357" s="21"/>
      <c r="R357" s="21"/>
      <c r="S357" s="21"/>
    </row>
    <row r="358" spans="2:19" x14ac:dyDescent="0.35">
      <c r="G358" s="21"/>
      <c r="H358" s="21"/>
      <c r="I358" s="22"/>
      <c r="J358" s="23"/>
      <c r="K358" s="23"/>
      <c r="L358" s="24"/>
      <c r="M358" s="24"/>
      <c r="N358" s="24"/>
      <c r="O358" s="83"/>
      <c r="P358" s="21"/>
      <c r="Q358" s="21"/>
      <c r="R358" s="21"/>
      <c r="S358" s="21"/>
    </row>
    <row r="359" spans="2:19" x14ac:dyDescent="0.35">
      <c r="G359" s="21"/>
      <c r="H359" s="21"/>
      <c r="I359" s="22"/>
      <c r="J359" s="23"/>
      <c r="K359" s="23"/>
      <c r="L359" s="24"/>
      <c r="M359" s="24"/>
      <c r="N359" s="24"/>
      <c r="O359" s="83"/>
      <c r="P359" s="21"/>
      <c r="Q359" s="21"/>
      <c r="R359" s="21"/>
      <c r="S359" s="21"/>
    </row>
    <row r="360" spans="2:19" x14ac:dyDescent="0.35">
      <c r="G360" s="21"/>
      <c r="H360" s="21"/>
      <c r="I360" s="22"/>
      <c r="J360" s="23"/>
      <c r="K360" s="23"/>
      <c r="L360" s="24"/>
      <c r="M360" s="24"/>
      <c r="N360" s="24"/>
      <c r="O360" s="83"/>
      <c r="P360" s="21"/>
      <c r="Q360" s="21"/>
      <c r="R360" s="21"/>
      <c r="S360" s="21"/>
    </row>
    <row r="361" spans="2:19" x14ac:dyDescent="0.35">
      <c r="G361" s="21"/>
      <c r="H361" s="21"/>
      <c r="I361" s="22"/>
      <c r="J361" s="23"/>
      <c r="K361" s="23"/>
      <c r="L361" s="24"/>
      <c r="M361" s="24"/>
      <c r="N361" s="24"/>
      <c r="O361" s="83"/>
      <c r="P361" s="21"/>
      <c r="Q361" s="21"/>
      <c r="R361" s="21"/>
      <c r="S361" s="21"/>
    </row>
    <row r="362" spans="2:19" x14ac:dyDescent="0.35">
      <c r="G362" s="21"/>
      <c r="H362" s="21"/>
      <c r="I362" s="22"/>
      <c r="J362" s="23"/>
      <c r="K362" s="23"/>
      <c r="L362" s="24"/>
      <c r="M362" s="24"/>
      <c r="N362" s="24"/>
      <c r="O362" s="83"/>
      <c r="P362" s="21"/>
      <c r="Q362" s="21"/>
      <c r="R362" s="21"/>
      <c r="S362" s="21"/>
    </row>
    <row r="363" spans="2:19" x14ac:dyDescent="0.35">
      <c r="G363" s="21"/>
      <c r="H363" s="21"/>
      <c r="I363" s="22"/>
      <c r="J363" s="23"/>
      <c r="K363" s="23"/>
      <c r="L363" s="24"/>
      <c r="M363" s="24"/>
      <c r="N363" s="24"/>
      <c r="O363" s="83"/>
      <c r="P363" s="21"/>
      <c r="Q363" s="21"/>
      <c r="R363" s="21"/>
      <c r="S363" s="21"/>
    </row>
    <row r="364" spans="2:19" x14ac:dyDescent="0.35">
      <c r="G364" s="21"/>
      <c r="H364" s="21"/>
      <c r="I364" s="22"/>
      <c r="J364" s="23"/>
      <c r="K364" s="23"/>
      <c r="L364" s="24"/>
      <c r="M364" s="24"/>
      <c r="N364" s="24"/>
      <c r="O364" s="83"/>
      <c r="P364" s="21"/>
      <c r="Q364" s="21"/>
      <c r="R364" s="21"/>
      <c r="S364" s="21"/>
    </row>
    <row r="365" spans="2:19" x14ac:dyDescent="0.35">
      <c r="G365" s="21"/>
      <c r="H365" s="21"/>
      <c r="I365" s="22"/>
      <c r="J365" s="23"/>
      <c r="K365" s="23"/>
      <c r="L365" s="24"/>
      <c r="M365" s="24"/>
      <c r="N365" s="24"/>
      <c r="O365" s="83"/>
      <c r="P365" s="21"/>
      <c r="Q365" s="21"/>
      <c r="R365" s="21"/>
      <c r="S365" s="21"/>
    </row>
    <row r="366" spans="2:19" x14ac:dyDescent="0.35">
      <c r="G366" s="21"/>
      <c r="H366" s="21"/>
      <c r="I366" s="22"/>
      <c r="J366" s="23"/>
      <c r="K366" s="23"/>
      <c r="L366" s="24"/>
      <c r="M366" s="24"/>
      <c r="N366" s="24"/>
      <c r="O366" s="83"/>
      <c r="P366" s="21"/>
      <c r="Q366" s="21"/>
      <c r="R366" s="21"/>
      <c r="S366" s="21"/>
    </row>
    <row r="367" spans="2:19" ht="18" x14ac:dyDescent="0.4">
      <c r="B367" s="3" t="s">
        <v>1</v>
      </c>
      <c r="G367" s="21"/>
      <c r="H367" s="21"/>
      <c r="I367" s="22"/>
      <c r="J367" s="23"/>
      <c r="K367" s="23"/>
      <c r="L367" s="24"/>
      <c r="M367" s="24"/>
      <c r="N367" s="24"/>
      <c r="O367" s="83"/>
      <c r="P367" s="21"/>
      <c r="Q367" s="21"/>
      <c r="R367" s="21"/>
      <c r="S367" s="21"/>
    </row>
    <row r="368" spans="2:19" x14ac:dyDescent="0.35">
      <c r="G368" s="21"/>
      <c r="H368" s="21"/>
      <c r="I368" s="22"/>
      <c r="J368" s="23"/>
      <c r="K368" s="23"/>
      <c r="L368" s="24"/>
      <c r="M368" s="24"/>
      <c r="N368" s="24"/>
      <c r="O368" s="83"/>
      <c r="P368" s="21"/>
      <c r="Q368" s="21"/>
      <c r="R368" s="21"/>
      <c r="S368" s="21"/>
    </row>
    <row r="369" spans="7:19" x14ac:dyDescent="0.35">
      <c r="G369" s="21"/>
      <c r="H369" s="21"/>
      <c r="I369" s="22"/>
      <c r="J369" s="23"/>
      <c r="K369" s="23"/>
      <c r="L369" s="24"/>
      <c r="M369" s="24"/>
      <c r="N369" s="24"/>
      <c r="O369" s="83"/>
      <c r="P369" s="21"/>
      <c r="Q369" s="21"/>
      <c r="R369" s="21"/>
      <c r="S369" s="21"/>
    </row>
    <row r="370" spans="7:19" x14ac:dyDescent="0.35">
      <c r="G370" s="21"/>
      <c r="H370" s="21"/>
      <c r="I370" s="22"/>
      <c r="J370" s="23"/>
      <c r="K370" s="23"/>
      <c r="L370" s="24"/>
      <c r="M370" s="24"/>
      <c r="N370" s="24"/>
      <c r="O370" s="83"/>
      <c r="P370" s="21"/>
      <c r="Q370" s="21"/>
      <c r="R370" s="21"/>
      <c r="S370" s="21"/>
    </row>
    <row r="371" spans="7:19" x14ac:dyDescent="0.35">
      <c r="G371" s="21"/>
      <c r="H371" s="21"/>
      <c r="I371" s="22"/>
      <c r="J371" s="23"/>
      <c r="K371" s="23"/>
      <c r="L371" s="24"/>
      <c r="M371" s="24"/>
      <c r="N371" s="24"/>
      <c r="O371" s="83"/>
      <c r="P371" s="21"/>
      <c r="Q371" s="21"/>
      <c r="R371" s="21"/>
      <c r="S371" s="21"/>
    </row>
    <row r="372" spans="7:19" x14ac:dyDescent="0.35">
      <c r="G372" s="21"/>
      <c r="H372" s="21"/>
      <c r="I372" s="22"/>
      <c r="J372" s="23"/>
      <c r="K372" s="23"/>
      <c r="L372" s="24"/>
      <c r="M372" s="24"/>
      <c r="N372" s="24"/>
      <c r="O372" s="83"/>
      <c r="P372" s="21"/>
      <c r="Q372" s="21"/>
      <c r="R372" s="21"/>
      <c r="S372" s="21"/>
    </row>
    <row r="373" spans="7:19" x14ac:dyDescent="0.35">
      <c r="G373" s="21"/>
      <c r="H373" s="21"/>
      <c r="I373" s="22"/>
      <c r="J373" s="23"/>
      <c r="K373" s="23"/>
      <c r="L373" s="24"/>
      <c r="M373" s="24"/>
      <c r="N373" s="24"/>
      <c r="O373" s="83"/>
      <c r="P373" s="21"/>
      <c r="Q373" s="21"/>
      <c r="R373" s="21"/>
      <c r="S373" s="21"/>
    </row>
    <row r="374" spans="7:19" x14ac:dyDescent="0.35">
      <c r="G374" s="21"/>
      <c r="H374" s="21"/>
      <c r="I374" s="22"/>
      <c r="J374" s="23"/>
      <c r="K374" s="23"/>
      <c r="L374" s="24"/>
      <c r="M374" s="24"/>
      <c r="N374" s="24"/>
      <c r="O374" s="83"/>
      <c r="P374" s="21"/>
      <c r="Q374" s="21"/>
      <c r="R374" s="21"/>
      <c r="S374" s="21"/>
    </row>
    <row r="375" spans="7:19" x14ac:dyDescent="0.35">
      <c r="G375" s="21"/>
      <c r="H375" s="21"/>
      <c r="I375" s="22"/>
      <c r="J375" s="23"/>
      <c r="K375" s="23"/>
      <c r="L375" s="24"/>
      <c r="M375" s="24"/>
      <c r="N375" s="24"/>
      <c r="O375" s="83"/>
      <c r="P375" s="21"/>
      <c r="Q375" s="21"/>
      <c r="R375" s="21"/>
      <c r="S375" s="21"/>
    </row>
    <row r="376" spans="7:19" x14ac:dyDescent="0.35">
      <c r="G376" s="21"/>
      <c r="H376" s="21"/>
      <c r="I376" s="22"/>
      <c r="J376" s="23"/>
      <c r="K376" s="23"/>
      <c r="L376" s="24"/>
      <c r="M376" s="24"/>
      <c r="N376" s="24"/>
      <c r="O376" s="83"/>
      <c r="P376" s="21"/>
      <c r="Q376" s="21"/>
      <c r="R376" s="21"/>
      <c r="S376" s="21"/>
    </row>
    <row r="377" spans="7:19" x14ac:dyDescent="0.35">
      <c r="G377" s="21"/>
      <c r="H377" s="21"/>
      <c r="I377" s="22"/>
      <c r="J377" s="23"/>
      <c r="K377" s="23"/>
      <c r="L377" s="24"/>
      <c r="M377" s="24"/>
      <c r="N377" s="24"/>
      <c r="O377" s="83"/>
      <c r="P377" s="21"/>
      <c r="Q377" s="21"/>
      <c r="R377" s="21"/>
      <c r="S377" s="21"/>
    </row>
    <row r="378" spans="7:19" x14ac:dyDescent="0.35">
      <c r="G378" s="21"/>
      <c r="H378" s="21"/>
      <c r="I378" s="22"/>
      <c r="J378" s="23"/>
      <c r="K378" s="23"/>
      <c r="L378" s="24"/>
      <c r="M378" s="24"/>
      <c r="N378" s="24"/>
      <c r="O378" s="83"/>
      <c r="P378" s="21"/>
      <c r="Q378" s="21"/>
      <c r="R378" s="21"/>
      <c r="S378" s="21"/>
    </row>
    <row r="379" spans="7:19" x14ac:dyDescent="0.35">
      <c r="G379" s="21"/>
      <c r="H379" s="21"/>
      <c r="I379" s="22"/>
      <c r="J379" s="23"/>
      <c r="K379" s="23"/>
      <c r="L379" s="24"/>
      <c r="M379" s="24"/>
      <c r="N379" s="24"/>
      <c r="O379" s="83"/>
      <c r="P379" s="21"/>
      <c r="Q379" s="21"/>
      <c r="R379" s="21"/>
      <c r="S379" s="21"/>
    </row>
    <row r="380" spans="7:19" x14ac:dyDescent="0.35">
      <c r="G380" s="21"/>
      <c r="H380" s="21"/>
      <c r="I380" s="22"/>
      <c r="J380" s="23"/>
      <c r="K380" s="23"/>
      <c r="L380" s="24"/>
      <c r="M380" s="24"/>
      <c r="N380" s="24"/>
      <c r="O380" s="83"/>
      <c r="P380" s="21"/>
      <c r="Q380" s="21"/>
      <c r="R380" s="21"/>
      <c r="S380" s="21"/>
    </row>
    <row r="381" spans="7:19" x14ac:dyDescent="0.35">
      <c r="G381" s="21"/>
      <c r="H381" s="21"/>
      <c r="I381" s="22"/>
      <c r="J381" s="23"/>
      <c r="K381" s="23"/>
      <c r="L381" s="24"/>
      <c r="M381" s="24"/>
      <c r="N381" s="24"/>
      <c r="O381" s="83"/>
      <c r="P381" s="21"/>
      <c r="Q381" s="21"/>
      <c r="R381" s="21"/>
      <c r="S381" s="21"/>
    </row>
    <row r="382" spans="7:19" x14ac:dyDescent="0.35">
      <c r="G382" s="21"/>
      <c r="H382" s="21"/>
      <c r="I382" s="22"/>
      <c r="J382" s="23"/>
      <c r="K382" s="23"/>
      <c r="L382" s="24"/>
      <c r="M382" s="24"/>
      <c r="N382" s="24"/>
      <c r="O382" s="83"/>
      <c r="P382" s="21"/>
      <c r="Q382" s="21"/>
      <c r="R382" s="21"/>
      <c r="S382" s="21"/>
    </row>
    <row r="383" spans="7:19" x14ac:dyDescent="0.35">
      <c r="G383" s="21"/>
      <c r="H383" s="21"/>
      <c r="I383" s="22"/>
      <c r="J383" s="23"/>
      <c r="K383" s="23"/>
      <c r="L383" s="24"/>
      <c r="M383" s="24"/>
      <c r="N383" s="24"/>
      <c r="O383" s="83"/>
      <c r="P383" s="21"/>
      <c r="Q383" s="21"/>
      <c r="R383" s="21"/>
      <c r="S383" s="21"/>
    </row>
    <row r="384" spans="7:19" x14ac:dyDescent="0.35">
      <c r="G384" s="21"/>
      <c r="H384" s="21"/>
      <c r="I384" s="22"/>
      <c r="J384" s="23"/>
      <c r="K384" s="23"/>
      <c r="L384" s="24"/>
      <c r="M384" s="24"/>
      <c r="N384" s="24"/>
      <c r="O384" s="83"/>
      <c r="P384" s="21"/>
      <c r="Q384" s="21"/>
      <c r="R384" s="21"/>
      <c r="S384" s="21"/>
    </row>
    <row r="385" spans="2:19" x14ac:dyDescent="0.35">
      <c r="G385" s="21"/>
      <c r="H385" s="21"/>
      <c r="I385" s="22"/>
      <c r="J385" s="23"/>
      <c r="K385" s="23"/>
      <c r="L385" s="24"/>
      <c r="M385" s="24"/>
      <c r="N385" s="24"/>
      <c r="O385" s="83"/>
      <c r="P385" s="21"/>
      <c r="Q385" s="21"/>
      <c r="R385" s="21"/>
      <c r="S385" s="21"/>
    </row>
    <row r="386" spans="2:19" x14ac:dyDescent="0.35">
      <c r="G386" s="21"/>
      <c r="H386" s="21"/>
      <c r="I386" s="22"/>
      <c r="J386" s="23"/>
      <c r="K386" s="23"/>
      <c r="L386" s="24"/>
      <c r="M386" s="24"/>
      <c r="N386" s="24"/>
      <c r="O386" s="83"/>
      <c r="P386" s="21"/>
      <c r="Q386" s="21"/>
      <c r="R386" s="21"/>
      <c r="S386" s="21"/>
    </row>
    <row r="387" spans="2:19" x14ac:dyDescent="0.35">
      <c r="G387" s="21"/>
      <c r="H387" s="21"/>
      <c r="I387" s="22"/>
      <c r="J387" s="23"/>
      <c r="K387" s="23"/>
      <c r="L387" s="24"/>
      <c r="M387" s="24"/>
      <c r="N387" s="24"/>
      <c r="O387" s="83"/>
      <c r="P387" s="21"/>
      <c r="Q387" s="21"/>
      <c r="R387" s="21"/>
      <c r="S387" s="21"/>
    </row>
    <row r="388" spans="2:19" x14ac:dyDescent="0.35">
      <c r="G388" s="21"/>
      <c r="H388" s="21"/>
      <c r="I388" s="22"/>
      <c r="J388" s="23"/>
      <c r="K388" s="23"/>
      <c r="L388" s="24"/>
      <c r="M388" s="24"/>
      <c r="N388" s="24"/>
      <c r="O388" s="83"/>
      <c r="P388" s="21"/>
      <c r="Q388" s="21"/>
      <c r="R388" s="21"/>
      <c r="S388" s="21"/>
    </row>
    <row r="389" spans="2:19" x14ac:dyDescent="0.35">
      <c r="G389" s="21"/>
      <c r="H389" s="21"/>
      <c r="I389" s="22"/>
      <c r="J389" s="23"/>
      <c r="K389" s="23"/>
      <c r="L389" s="24"/>
      <c r="M389" s="24"/>
      <c r="N389" s="24"/>
      <c r="O389" s="83"/>
      <c r="P389" s="21"/>
      <c r="Q389" s="21"/>
      <c r="R389" s="21"/>
      <c r="S389" s="21"/>
    </row>
    <row r="390" spans="2:19" x14ac:dyDescent="0.35">
      <c r="G390" s="21"/>
      <c r="H390" s="21"/>
      <c r="I390" s="22"/>
      <c r="J390" s="23"/>
      <c r="K390" s="23"/>
      <c r="L390" s="24"/>
      <c r="M390" s="24"/>
      <c r="N390" s="24"/>
      <c r="O390" s="83"/>
      <c r="P390" s="21"/>
      <c r="Q390" s="21"/>
      <c r="R390" s="21"/>
      <c r="S390" s="21"/>
    </row>
    <row r="391" spans="2:19" x14ac:dyDescent="0.35">
      <c r="G391" s="21"/>
      <c r="H391" s="21"/>
      <c r="I391" s="22"/>
      <c r="J391" s="23"/>
      <c r="K391" s="23"/>
      <c r="L391" s="24"/>
      <c r="M391" s="24"/>
      <c r="N391" s="24"/>
      <c r="O391" s="83"/>
      <c r="P391" s="21"/>
      <c r="Q391" s="21"/>
      <c r="R391" s="21"/>
      <c r="S391" s="21"/>
    </row>
    <row r="392" spans="2:19" x14ac:dyDescent="0.35">
      <c r="G392" s="21"/>
      <c r="H392" s="21"/>
      <c r="I392" s="22"/>
      <c r="J392" s="23"/>
      <c r="K392" s="23"/>
      <c r="L392" s="24"/>
      <c r="M392" s="24"/>
      <c r="N392" s="24"/>
      <c r="O392" s="83"/>
      <c r="P392" s="21"/>
      <c r="Q392" s="21"/>
      <c r="R392" s="21"/>
      <c r="S392" s="21"/>
    </row>
    <row r="393" spans="2:19" ht="18" x14ac:dyDescent="0.4">
      <c r="B393" s="3" t="s">
        <v>660</v>
      </c>
      <c r="H393" s="21"/>
      <c r="I393" s="22"/>
      <c r="J393" s="23"/>
      <c r="K393" s="23"/>
      <c r="L393" s="24"/>
      <c r="M393" s="24"/>
      <c r="N393" s="24"/>
      <c r="O393" s="83"/>
      <c r="P393" s="21"/>
      <c r="Q393" s="21"/>
      <c r="R393" s="21"/>
      <c r="S393" s="21"/>
    </row>
    <row r="394" spans="2:19" x14ac:dyDescent="0.35">
      <c r="H394" s="21"/>
      <c r="I394" s="22"/>
      <c r="J394" s="23"/>
      <c r="K394" s="23"/>
      <c r="L394" s="24"/>
      <c r="M394" s="24"/>
      <c r="N394" s="24"/>
      <c r="O394" s="83"/>
      <c r="P394" s="21"/>
      <c r="Q394" s="21"/>
      <c r="R394" s="21"/>
      <c r="S394" s="21"/>
    </row>
    <row r="395" spans="2:19" x14ac:dyDescent="0.35">
      <c r="H395" s="21"/>
      <c r="I395" s="22"/>
      <c r="J395" s="23"/>
      <c r="K395" s="23"/>
      <c r="L395" s="24"/>
      <c r="M395" s="24"/>
      <c r="N395" s="24"/>
      <c r="O395" s="83"/>
      <c r="P395" s="21"/>
      <c r="Q395" s="21"/>
      <c r="R395" s="21"/>
      <c r="S395" s="21"/>
    </row>
    <row r="396" spans="2:19" x14ac:dyDescent="0.35">
      <c r="H396" s="21"/>
      <c r="I396" s="22"/>
      <c r="J396" s="23"/>
      <c r="K396" s="23"/>
      <c r="L396" s="24"/>
      <c r="M396" s="24"/>
      <c r="N396" s="24"/>
      <c r="O396" s="83"/>
      <c r="P396" s="21"/>
      <c r="Q396" s="21"/>
      <c r="R396" s="21"/>
      <c r="S396" s="21"/>
    </row>
    <row r="397" spans="2:19" x14ac:dyDescent="0.35">
      <c r="H397" s="21"/>
      <c r="I397" s="22"/>
      <c r="J397" s="23"/>
      <c r="K397" s="23"/>
      <c r="L397" s="24"/>
      <c r="M397" s="24"/>
      <c r="N397" s="24"/>
      <c r="O397" s="83"/>
      <c r="P397" s="21"/>
      <c r="Q397" s="21"/>
      <c r="R397" s="21"/>
      <c r="S397" s="21"/>
    </row>
    <row r="398" spans="2:19" x14ac:dyDescent="0.35">
      <c r="H398" s="21"/>
      <c r="I398" s="22"/>
      <c r="J398" s="23"/>
      <c r="K398" s="23"/>
      <c r="L398" s="24"/>
      <c r="M398" s="24"/>
      <c r="N398" s="24"/>
      <c r="O398" s="83"/>
      <c r="P398" s="21"/>
      <c r="Q398" s="21"/>
      <c r="R398" s="21"/>
      <c r="S398" s="21"/>
    </row>
    <row r="399" spans="2:19" x14ac:dyDescent="0.35">
      <c r="H399" s="21"/>
      <c r="I399" s="22"/>
      <c r="J399" s="23"/>
      <c r="K399" s="23"/>
      <c r="L399" s="24"/>
      <c r="M399" s="24"/>
      <c r="N399" s="24"/>
      <c r="O399" s="83"/>
      <c r="P399" s="21"/>
      <c r="Q399" s="21"/>
      <c r="R399" s="21"/>
      <c r="S399" s="21"/>
    </row>
    <row r="400" spans="2:19" x14ac:dyDescent="0.35">
      <c r="H400" s="21"/>
      <c r="I400" s="22"/>
      <c r="J400" s="23"/>
      <c r="K400" s="23"/>
      <c r="L400" s="24"/>
      <c r="M400" s="24"/>
      <c r="N400" s="24"/>
      <c r="O400" s="83"/>
      <c r="P400" s="21"/>
      <c r="Q400" s="21"/>
      <c r="R400" s="21"/>
      <c r="S400" s="21"/>
    </row>
    <row r="401" spans="8:19" x14ac:dyDescent="0.35">
      <c r="H401" s="21"/>
      <c r="I401" s="22"/>
      <c r="J401" s="23"/>
      <c r="K401" s="23"/>
      <c r="L401" s="24"/>
      <c r="M401" s="24"/>
      <c r="N401" s="24"/>
      <c r="O401" s="83"/>
      <c r="P401" s="21"/>
      <c r="Q401" s="21"/>
      <c r="R401" s="21"/>
      <c r="S401" s="21"/>
    </row>
    <row r="402" spans="8:19" x14ac:dyDescent="0.35">
      <c r="H402" s="21"/>
      <c r="I402" s="22"/>
      <c r="J402" s="23"/>
      <c r="K402" s="23"/>
      <c r="L402" s="24"/>
      <c r="M402" s="24"/>
      <c r="N402" s="24"/>
      <c r="O402" s="83"/>
      <c r="P402" s="21"/>
      <c r="Q402" s="21"/>
      <c r="R402" s="21"/>
      <c r="S402" s="21"/>
    </row>
    <row r="403" spans="8:19" x14ac:dyDescent="0.35">
      <c r="H403" s="21"/>
      <c r="I403" s="22"/>
      <c r="J403" s="23"/>
      <c r="K403" s="23"/>
      <c r="L403" s="24"/>
      <c r="M403" s="24"/>
      <c r="N403" s="24"/>
      <c r="O403" s="83"/>
      <c r="P403" s="21"/>
      <c r="Q403" s="21"/>
      <c r="R403" s="21"/>
      <c r="S403" s="21"/>
    </row>
    <row r="404" spans="8:19" x14ac:dyDescent="0.35">
      <c r="H404" s="21"/>
      <c r="I404" s="22"/>
      <c r="J404" s="23"/>
      <c r="K404" s="23"/>
      <c r="L404" s="24"/>
      <c r="M404" s="24"/>
      <c r="N404" s="24"/>
      <c r="O404" s="83"/>
      <c r="P404" s="21"/>
      <c r="Q404" s="21"/>
      <c r="R404" s="21"/>
      <c r="S404" s="21"/>
    </row>
    <row r="405" spans="8:19" x14ac:dyDescent="0.35">
      <c r="H405" s="21"/>
      <c r="I405" s="22"/>
      <c r="J405" s="23"/>
      <c r="K405" s="23"/>
      <c r="L405" s="24"/>
      <c r="M405" s="24"/>
    </row>
    <row r="406" spans="8:19" x14ac:dyDescent="0.35">
      <c r="H406" s="21"/>
      <c r="I406" s="22"/>
      <c r="J406" s="23"/>
      <c r="K406" s="23"/>
      <c r="L406" s="24"/>
      <c r="M406" s="24"/>
    </row>
    <row r="407" spans="8:19" x14ac:dyDescent="0.35">
      <c r="H407" s="21"/>
      <c r="I407" s="22"/>
      <c r="J407" s="23"/>
      <c r="K407" s="23"/>
      <c r="L407" s="24"/>
      <c r="M407" s="24"/>
    </row>
    <row r="408" spans="8:19" x14ac:dyDescent="0.35">
      <c r="H408" s="21"/>
      <c r="I408" s="22"/>
      <c r="J408" s="23"/>
      <c r="K408" s="23"/>
      <c r="L408" s="24"/>
      <c r="M408" s="24"/>
    </row>
    <row r="409" spans="8:19" x14ac:dyDescent="0.35">
      <c r="H409" s="21"/>
      <c r="I409" s="22"/>
      <c r="J409" s="23"/>
      <c r="K409" s="23"/>
      <c r="L409" s="24"/>
      <c r="M409" s="24"/>
    </row>
    <row r="410" spans="8:19" x14ac:dyDescent="0.35">
      <c r="H410" s="21"/>
      <c r="I410" s="22"/>
      <c r="J410" s="23"/>
      <c r="K410" s="23"/>
      <c r="L410" s="24"/>
      <c r="M410" s="24"/>
    </row>
    <row r="411" spans="8:19" x14ac:dyDescent="0.35">
      <c r="H411" s="21"/>
      <c r="I411" s="22"/>
      <c r="J411" s="23"/>
      <c r="K411" s="23"/>
      <c r="L411" s="24"/>
      <c r="M411" s="24"/>
    </row>
    <row r="412" spans="8:19" x14ac:dyDescent="0.35">
      <c r="H412" s="21"/>
      <c r="I412" s="22"/>
      <c r="J412" s="23"/>
      <c r="K412" s="23"/>
      <c r="L412" s="24"/>
      <c r="M412" s="24"/>
    </row>
    <row r="413" spans="8:19" x14ac:dyDescent="0.35">
      <c r="H413" s="21"/>
      <c r="I413" s="22"/>
      <c r="J413" s="23"/>
      <c r="K413" s="23"/>
      <c r="L413" s="24"/>
      <c r="M413" s="24"/>
    </row>
    <row r="414" spans="8:19" x14ac:dyDescent="0.35">
      <c r="H414" s="21"/>
      <c r="I414" s="22"/>
      <c r="J414" s="23"/>
      <c r="K414" s="23"/>
      <c r="L414" s="24"/>
      <c r="M414" s="24"/>
    </row>
    <row r="415" spans="8:19" x14ac:dyDescent="0.35">
      <c r="H415" s="21"/>
      <c r="I415" s="22"/>
      <c r="J415" s="23"/>
      <c r="K415" s="23"/>
      <c r="L415" s="24"/>
      <c r="M415" s="24"/>
    </row>
    <row r="416" spans="8:19" x14ac:dyDescent="0.35">
      <c r="H416" s="21"/>
      <c r="I416" s="22"/>
      <c r="J416" s="23"/>
      <c r="K416" s="23"/>
      <c r="L416" s="24"/>
      <c r="M416" s="24"/>
    </row>
    <row r="417" spans="2:13" x14ac:dyDescent="0.35">
      <c r="H417" s="21"/>
      <c r="I417" s="22"/>
      <c r="J417" s="23"/>
      <c r="K417" s="23"/>
      <c r="L417" s="24"/>
      <c r="M417" s="24"/>
    </row>
    <row r="418" spans="2:13" x14ac:dyDescent="0.35">
      <c r="G418" s="21"/>
      <c r="H418" s="21"/>
      <c r="I418" s="22"/>
      <c r="J418" s="23"/>
      <c r="K418" s="23"/>
      <c r="L418" s="24"/>
      <c r="M418" s="24"/>
    </row>
    <row r="419" spans="2:13" ht="18" x14ac:dyDescent="0.4">
      <c r="B419" s="3"/>
      <c r="G419" s="21"/>
      <c r="H419" s="21"/>
      <c r="I419" s="22"/>
      <c r="J419" s="23"/>
      <c r="K419" s="23"/>
      <c r="L419" s="24"/>
      <c r="M419" s="24"/>
    </row>
    <row r="420" spans="2:13" x14ac:dyDescent="0.35">
      <c r="G420" s="21"/>
      <c r="H420" s="21"/>
      <c r="I420" s="22"/>
      <c r="J420" s="23"/>
      <c r="K420" s="23"/>
      <c r="L420" s="24"/>
      <c r="M420" s="24"/>
    </row>
    <row r="421" spans="2:13" x14ac:dyDescent="0.35">
      <c r="G421" s="21"/>
      <c r="H421" s="21"/>
      <c r="I421" s="22"/>
      <c r="J421" s="23"/>
      <c r="K421" s="23"/>
      <c r="L421" s="24"/>
      <c r="M421" s="24"/>
    </row>
    <row r="422" spans="2:13" x14ac:dyDescent="0.35">
      <c r="G422" s="21"/>
      <c r="H422" s="21"/>
      <c r="I422" s="22"/>
      <c r="J422" s="23"/>
      <c r="K422" s="23"/>
      <c r="L422" s="24"/>
      <c r="M422" s="24"/>
    </row>
    <row r="423" spans="2:13" x14ac:dyDescent="0.35">
      <c r="G423" s="21"/>
      <c r="H423" s="21"/>
      <c r="I423" s="22"/>
      <c r="J423" s="23"/>
      <c r="K423" s="23"/>
      <c r="L423" s="24"/>
      <c r="M423" s="24"/>
    </row>
    <row r="424" spans="2:13" x14ac:dyDescent="0.35">
      <c r="G424" s="21"/>
      <c r="H424" s="21"/>
      <c r="I424" s="22"/>
      <c r="J424" s="23"/>
      <c r="K424" s="23"/>
      <c r="L424" s="24"/>
      <c r="M424" s="24"/>
    </row>
    <row r="425" spans="2:13" x14ac:dyDescent="0.35">
      <c r="G425" s="21"/>
      <c r="H425" s="21"/>
      <c r="I425" s="22"/>
      <c r="J425" s="23"/>
      <c r="K425" s="23"/>
      <c r="L425" s="24"/>
      <c r="M425" s="24"/>
    </row>
    <row r="426" spans="2:13" x14ac:dyDescent="0.35">
      <c r="G426" s="21"/>
      <c r="H426" s="21"/>
      <c r="I426" s="22"/>
      <c r="J426" s="23"/>
      <c r="K426" s="23"/>
      <c r="L426" s="24"/>
      <c r="M426" s="24"/>
    </row>
    <row r="427" spans="2:13" x14ac:dyDescent="0.35">
      <c r="G427" s="21"/>
      <c r="H427" s="21"/>
      <c r="I427" s="22"/>
      <c r="J427" s="23"/>
      <c r="K427" s="23"/>
      <c r="L427" s="24"/>
      <c r="M427" s="24"/>
    </row>
    <row r="428" spans="2:13" x14ac:dyDescent="0.35">
      <c r="G428" s="21"/>
      <c r="H428" s="21"/>
      <c r="I428" s="22"/>
      <c r="J428" s="23"/>
      <c r="K428" s="23"/>
      <c r="L428" s="24"/>
      <c r="M428" s="24"/>
    </row>
    <row r="429" spans="2:13" x14ac:dyDescent="0.35">
      <c r="G429" s="21"/>
      <c r="H429" s="21"/>
      <c r="I429" s="22"/>
      <c r="J429" s="23"/>
      <c r="K429" s="23"/>
      <c r="L429" s="24"/>
      <c r="M429" s="24"/>
    </row>
    <row r="430" spans="2:13" x14ac:dyDescent="0.35">
      <c r="G430" s="21"/>
      <c r="H430" s="21"/>
      <c r="I430" s="22"/>
      <c r="J430" s="23"/>
      <c r="K430" s="23"/>
      <c r="L430" s="24"/>
      <c r="M430" s="24"/>
    </row>
    <row r="431" spans="2:13" x14ac:dyDescent="0.35">
      <c r="G431" s="21"/>
      <c r="H431" s="21"/>
      <c r="I431" s="22"/>
      <c r="J431" s="23"/>
      <c r="K431" s="23"/>
      <c r="L431" s="24"/>
      <c r="M431" s="24"/>
    </row>
    <row r="432" spans="2:13" x14ac:dyDescent="0.35">
      <c r="G432" s="21"/>
      <c r="H432" s="21"/>
      <c r="I432" s="22"/>
      <c r="J432" s="23"/>
      <c r="K432" s="23"/>
      <c r="L432" s="24"/>
      <c r="M432" s="24"/>
    </row>
    <row r="433" spans="7:13" x14ac:dyDescent="0.35">
      <c r="G433" s="21"/>
      <c r="H433" s="21"/>
      <c r="I433" s="22"/>
      <c r="J433" s="23"/>
      <c r="K433" s="23"/>
      <c r="L433" s="24"/>
      <c r="M433" s="24"/>
    </row>
    <row r="434" spans="7:13" x14ac:dyDescent="0.35">
      <c r="G434" s="21"/>
      <c r="H434" s="21"/>
      <c r="I434" s="22"/>
      <c r="J434" s="23"/>
      <c r="K434" s="23"/>
      <c r="L434" s="24"/>
      <c r="M434" s="24"/>
    </row>
    <row r="435" spans="7:13" x14ac:dyDescent="0.35">
      <c r="G435" s="21"/>
      <c r="H435" s="21"/>
      <c r="I435" s="22"/>
      <c r="J435" s="23"/>
      <c r="K435" s="23"/>
      <c r="L435" s="24"/>
      <c r="M435" s="24"/>
    </row>
    <row r="436" spans="7:13" x14ac:dyDescent="0.35">
      <c r="G436" s="21"/>
      <c r="H436" s="21"/>
      <c r="I436" s="22"/>
      <c r="J436" s="23"/>
      <c r="K436" s="23"/>
      <c r="L436" s="24"/>
      <c r="M436" s="24"/>
    </row>
    <row r="437" spans="7:13" x14ac:dyDescent="0.35">
      <c r="G437" s="21"/>
      <c r="H437" s="21"/>
      <c r="I437" s="22"/>
      <c r="J437" s="23"/>
      <c r="K437" s="23"/>
      <c r="L437" s="24"/>
      <c r="M437" s="24"/>
    </row>
    <row r="438" spans="7:13" x14ac:dyDescent="0.35">
      <c r="G438" s="21"/>
      <c r="H438" s="21"/>
      <c r="I438" s="22"/>
      <c r="J438" s="23"/>
      <c r="K438" s="23"/>
      <c r="L438" s="24"/>
      <c r="M438" s="24"/>
    </row>
    <row r="439" spans="7:13" x14ac:dyDescent="0.35">
      <c r="G439" s="21"/>
      <c r="H439" s="21"/>
      <c r="I439" s="22"/>
      <c r="J439" s="23"/>
      <c r="K439" s="23"/>
      <c r="L439" s="24"/>
      <c r="M439" s="24"/>
    </row>
    <row r="440" spans="7:13" x14ac:dyDescent="0.35">
      <c r="G440" s="21"/>
      <c r="H440" s="21"/>
      <c r="I440" s="22"/>
      <c r="J440" s="23"/>
      <c r="K440" s="23"/>
      <c r="L440" s="24"/>
      <c r="M440" s="24"/>
    </row>
    <row r="441" spans="7:13" x14ac:dyDescent="0.35">
      <c r="G441" s="21"/>
      <c r="H441" s="21"/>
      <c r="I441" s="22"/>
      <c r="J441" s="23"/>
      <c r="K441" s="23"/>
      <c r="L441" s="24"/>
      <c r="M441" s="24"/>
    </row>
    <row r="442" spans="7:13" x14ac:dyDescent="0.35">
      <c r="G442" s="21"/>
      <c r="H442" s="21"/>
      <c r="I442" s="22"/>
      <c r="J442" s="23"/>
      <c r="K442" s="23"/>
      <c r="L442" s="24"/>
      <c r="M442" s="24"/>
    </row>
    <row r="443" spans="7:13" x14ac:dyDescent="0.35">
      <c r="G443" s="21"/>
      <c r="H443" s="21"/>
      <c r="I443" s="22"/>
      <c r="J443" s="23"/>
      <c r="K443" s="23"/>
      <c r="L443" s="24"/>
      <c r="M443" s="24"/>
    </row>
    <row r="444" spans="7:13" x14ac:dyDescent="0.35">
      <c r="G444" s="21"/>
      <c r="H444" s="21"/>
      <c r="I444" s="22"/>
      <c r="J444" s="23"/>
      <c r="K444" s="23"/>
      <c r="L444" s="24"/>
      <c r="M444" s="24"/>
    </row>
    <row r="445" spans="7:13" x14ac:dyDescent="0.35">
      <c r="G445" s="21"/>
      <c r="H445" s="21"/>
      <c r="I445" s="22"/>
      <c r="J445" s="23"/>
      <c r="K445" s="23"/>
      <c r="L445" s="24"/>
      <c r="M445" s="24"/>
    </row>
    <row r="446" spans="7:13" x14ac:dyDescent="0.35">
      <c r="G446" s="21"/>
      <c r="H446" s="21"/>
      <c r="I446" s="22"/>
      <c r="J446" s="23"/>
      <c r="K446" s="23"/>
      <c r="L446" s="24"/>
      <c r="M446" s="24"/>
    </row>
    <row r="447" spans="7:13" x14ac:dyDescent="0.35">
      <c r="G447" s="21"/>
      <c r="H447" s="21"/>
      <c r="I447" s="22"/>
      <c r="J447" s="23"/>
      <c r="K447" s="23"/>
      <c r="L447" s="24"/>
      <c r="M447" s="24"/>
    </row>
    <row r="448" spans="7:13" x14ac:dyDescent="0.35">
      <c r="G448" s="21"/>
      <c r="H448" s="21"/>
      <c r="I448" s="22"/>
      <c r="J448" s="23"/>
      <c r="K448" s="23"/>
      <c r="L448" s="24"/>
      <c r="M448" s="24"/>
    </row>
    <row r="449" spans="7:13" x14ac:dyDescent="0.35">
      <c r="G449" s="21"/>
      <c r="H449" s="21"/>
      <c r="I449" s="22"/>
      <c r="J449" s="23"/>
      <c r="K449" s="23"/>
      <c r="L449" s="24"/>
      <c r="M449" s="24"/>
    </row>
    <row r="450" spans="7:13" x14ac:dyDescent="0.35">
      <c r="G450" s="21"/>
      <c r="H450" s="21"/>
      <c r="I450" s="22"/>
      <c r="J450" s="23"/>
      <c r="K450" s="23"/>
      <c r="L450" s="24"/>
      <c r="M450" s="24"/>
    </row>
    <row r="451" spans="7:13" x14ac:dyDescent="0.35">
      <c r="G451" s="21"/>
      <c r="H451" s="21"/>
      <c r="I451" s="22"/>
      <c r="J451" s="23"/>
      <c r="K451" s="23"/>
      <c r="L451" s="24"/>
      <c r="M451" s="24"/>
    </row>
    <row r="452" spans="7:13" x14ac:dyDescent="0.35">
      <c r="G452" s="21"/>
      <c r="H452" s="21"/>
      <c r="I452" s="22"/>
      <c r="J452" s="23"/>
      <c r="K452" s="23"/>
      <c r="L452" s="24"/>
      <c r="M452" s="24"/>
    </row>
    <row r="453" spans="7:13" x14ac:dyDescent="0.35">
      <c r="G453" s="21"/>
      <c r="H453" s="21"/>
      <c r="I453" s="22"/>
      <c r="J453" s="23"/>
      <c r="K453" s="23"/>
      <c r="L453" s="24"/>
      <c r="M453" s="24"/>
    </row>
    <row r="454" spans="7:13" x14ac:dyDescent="0.35">
      <c r="G454" s="21"/>
      <c r="J454" s="23"/>
      <c r="K454" s="23"/>
      <c r="L454" s="24"/>
      <c r="M454" s="24"/>
    </row>
    <row r="455" spans="7:13" x14ac:dyDescent="0.35">
      <c r="G455" s="21"/>
      <c r="J455" s="23"/>
      <c r="K455" s="23"/>
      <c r="L455" s="24"/>
      <c r="M455" s="24"/>
    </row>
    <row r="456" spans="7:13" x14ac:dyDescent="0.35">
      <c r="G456" s="21"/>
      <c r="J456" s="23"/>
      <c r="K456" s="23"/>
      <c r="L456" s="24"/>
      <c r="M456" s="24"/>
    </row>
    <row r="457" spans="7:13" x14ac:dyDescent="0.35">
      <c r="G457" s="21"/>
      <c r="J457" s="23"/>
      <c r="K457" s="23"/>
      <c r="L457" s="24"/>
      <c r="M457" s="24"/>
    </row>
    <row r="458" spans="7:13" x14ac:dyDescent="0.35">
      <c r="G458" s="21"/>
      <c r="J458" s="23"/>
      <c r="K458" s="23"/>
      <c r="L458" s="24"/>
      <c r="M458" s="24"/>
    </row>
    <row r="459" spans="7:13" x14ac:dyDescent="0.35">
      <c r="G459" s="21"/>
      <c r="J459" s="23"/>
      <c r="K459" s="23"/>
      <c r="L459" s="24"/>
      <c r="M459" s="24"/>
    </row>
    <row r="460" spans="7:13" x14ac:dyDescent="0.35">
      <c r="G460" s="21"/>
      <c r="J460" s="23"/>
      <c r="K460" s="23"/>
      <c r="L460" s="24"/>
      <c r="M460" s="24"/>
    </row>
    <row r="461" spans="7:13" x14ac:dyDescent="0.35">
      <c r="G461" s="21"/>
      <c r="J461" s="23"/>
      <c r="K461" s="23"/>
      <c r="L461" s="24"/>
      <c r="M461" s="24"/>
    </row>
    <row r="462" spans="7:13" x14ac:dyDescent="0.35">
      <c r="G462" s="21"/>
      <c r="J462" s="23"/>
      <c r="K462" s="23"/>
      <c r="L462" s="24"/>
      <c r="M462" s="24"/>
    </row>
    <row r="463" spans="7:13" x14ac:dyDescent="0.35">
      <c r="G463" s="21"/>
    </row>
    <row r="464" spans="7:13" x14ac:dyDescent="0.35">
      <c r="G464" s="21"/>
    </row>
    <row r="465" spans="7:7" x14ac:dyDescent="0.35">
      <c r="G465" s="21"/>
    </row>
    <row r="466" spans="7:7" x14ac:dyDescent="0.35">
      <c r="G466" s="21"/>
    </row>
    <row r="467" spans="7:7" x14ac:dyDescent="0.35">
      <c r="G467" s="21"/>
    </row>
    <row r="468" spans="7:7" x14ac:dyDescent="0.35">
      <c r="G468" s="21"/>
    </row>
    <row r="469" spans="7:7" x14ac:dyDescent="0.35">
      <c r="G469" s="21"/>
    </row>
    <row r="470" spans="7:7" x14ac:dyDescent="0.35">
      <c r="G470" s="21"/>
    </row>
    <row r="471" spans="7:7" x14ac:dyDescent="0.35">
      <c r="G471" s="21"/>
    </row>
    <row r="472" spans="7:7" x14ac:dyDescent="0.35">
      <c r="G472" s="21"/>
    </row>
    <row r="473" spans="7:7" x14ac:dyDescent="0.35">
      <c r="G473" s="21"/>
    </row>
    <row r="474" spans="7:7" x14ac:dyDescent="0.35">
      <c r="G474" s="21"/>
    </row>
    <row r="475" spans="7:7" x14ac:dyDescent="0.35">
      <c r="G475" s="21"/>
    </row>
    <row r="476" spans="7:7" x14ac:dyDescent="0.35">
      <c r="G476" s="21"/>
    </row>
    <row r="477" spans="7:7" x14ac:dyDescent="0.35">
      <c r="G477" s="21"/>
    </row>
    <row r="478" spans="7:7" x14ac:dyDescent="0.35">
      <c r="G478" s="21"/>
    </row>
    <row r="487" spans="7:7" x14ac:dyDescent="0.35">
      <c r="G487" s="21"/>
    </row>
    <row r="488" spans="7:7" x14ac:dyDescent="0.35">
      <c r="G488" s="21"/>
    </row>
    <row r="489" spans="7:7" x14ac:dyDescent="0.35">
      <c r="G489" s="21"/>
    </row>
    <row r="490" spans="7:7" x14ac:dyDescent="0.35">
      <c r="G490" s="21"/>
    </row>
    <row r="491" spans="7:7" x14ac:dyDescent="0.35">
      <c r="G491" s="21"/>
    </row>
    <row r="492" spans="7:7" x14ac:dyDescent="0.35">
      <c r="G492" s="21"/>
    </row>
    <row r="493" spans="7:7" x14ac:dyDescent="0.35">
      <c r="G493" s="21"/>
    </row>
    <row r="494" spans="7:7" x14ac:dyDescent="0.35">
      <c r="G494" s="21"/>
    </row>
    <row r="495" spans="7:7" x14ac:dyDescent="0.35">
      <c r="G495" s="21"/>
    </row>
    <row r="496" spans="7:7" x14ac:dyDescent="0.35">
      <c r="G496" s="21"/>
    </row>
    <row r="497" spans="7:7" x14ac:dyDescent="0.35">
      <c r="G497" s="21"/>
    </row>
    <row r="498" spans="7:7" x14ac:dyDescent="0.35">
      <c r="G498" s="21"/>
    </row>
    <row r="499" spans="7:7" x14ac:dyDescent="0.35">
      <c r="G499" s="21"/>
    </row>
    <row r="500" spans="7:7" x14ac:dyDescent="0.35">
      <c r="G500" s="21"/>
    </row>
    <row r="501" spans="7:7" x14ac:dyDescent="0.35">
      <c r="G501" s="21"/>
    </row>
    <row r="502" spans="7:7" x14ac:dyDescent="0.35">
      <c r="G502" s="21"/>
    </row>
    <row r="503" spans="7:7" x14ac:dyDescent="0.35">
      <c r="G503" s="21"/>
    </row>
    <row r="504" spans="7:7" x14ac:dyDescent="0.35">
      <c r="G504" s="21"/>
    </row>
    <row r="505" spans="7:7" x14ac:dyDescent="0.35">
      <c r="G505" s="21"/>
    </row>
    <row r="506" spans="7:7" x14ac:dyDescent="0.35">
      <c r="G506" s="21"/>
    </row>
    <row r="507" spans="7:7" x14ac:dyDescent="0.35">
      <c r="G507" s="21"/>
    </row>
    <row r="508" spans="7:7" x14ac:dyDescent="0.35">
      <c r="G508" s="21"/>
    </row>
    <row r="509" spans="7:7" x14ac:dyDescent="0.35">
      <c r="G509" s="21"/>
    </row>
    <row r="510" spans="7:7" x14ac:dyDescent="0.35">
      <c r="G510" s="21"/>
    </row>
    <row r="511" spans="7:7" x14ac:dyDescent="0.35">
      <c r="G511" s="21"/>
    </row>
    <row r="512" spans="7:7" x14ac:dyDescent="0.35">
      <c r="G512" s="21"/>
    </row>
    <row r="513" spans="5:7" x14ac:dyDescent="0.35">
      <c r="G513" s="21"/>
    </row>
    <row r="515" spans="5:7" x14ac:dyDescent="0.35">
      <c r="E515" s="20" t="s">
        <v>849</v>
      </c>
    </row>
    <row r="526" spans="5:7" x14ac:dyDescent="0.35">
      <c r="G526" s="21"/>
    </row>
    <row r="527" spans="5:7" x14ac:dyDescent="0.35">
      <c r="G527" s="21"/>
    </row>
    <row r="528" spans="5:7" x14ac:dyDescent="0.35">
      <c r="G528" s="21"/>
    </row>
    <row r="529" spans="7:7" x14ac:dyDescent="0.35">
      <c r="G529" s="21"/>
    </row>
    <row r="530" spans="7:7" x14ac:dyDescent="0.35">
      <c r="G530" s="21"/>
    </row>
    <row r="531" spans="7:7" x14ac:dyDescent="0.35">
      <c r="G531" s="21"/>
    </row>
    <row r="532" spans="7:7" x14ac:dyDescent="0.35">
      <c r="G532" s="21"/>
    </row>
    <row r="533" spans="7:7" x14ac:dyDescent="0.35">
      <c r="G533" s="21"/>
    </row>
    <row r="534" spans="7:7" x14ac:dyDescent="0.35">
      <c r="G534" s="21"/>
    </row>
    <row r="535" spans="7:7" x14ac:dyDescent="0.35">
      <c r="G535" s="21"/>
    </row>
    <row r="536" spans="7:7" x14ac:dyDescent="0.35">
      <c r="G536" s="21"/>
    </row>
    <row r="537" spans="7:7" x14ac:dyDescent="0.35">
      <c r="G537" s="21"/>
    </row>
    <row r="538" spans="7:7" x14ac:dyDescent="0.35">
      <c r="G538" s="21"/>
    </row>
    <row r="539" spans="7:7" x14ac:dyDescent="0.35">
      <c r="G539" s="21"/>
    </row>
    <row r="540" spans="7:7" x14ac:dyDescent="0.35">
      <c r="G540" s="21"/>
    </row>
    <row r="541" spans="7:7" x14ac:dyDescent="0.35">
      <c r="G541" s="21"/>
    </row>
    <row r="542" spans="7:7" x14ac:dyDescent="0.35">
      <c r="G542" s="21"/>
    </row>
    <row r="543" spans="7:7" x14ac:dyDescent="0.35">
      <c r="G543" s="21"/>
    </row>
    <row r="544" spans="7:7" x14ac:dyDescent="0.35">
      <c r="G544" s="21"/>
    </row>
    <row r="545" spans="7:7" x14ac:dyDescent="0.35">
      <c r="G545" s="21"/>
    </row>
    <row r="546" spans="7:7" x14ac:dyDescent="0.35">
      <c r="G546" s="21"/>
    </row>
    <row r="547" spans="7:7" x14ac:dyDescent="0.35">
      <c r="G547" s="21"/>
    </row>
    <row r="548" spans="7:7" x14ac:dyDescent="0.35">
      <c r="G548" s="21"/>
    </row>
    <row r="549" spans="7:7" x14ac:dyDescent="0.35">
      <c r="G549" s="21"/>
    </row>
    <row r="550" spans="7:7" x14ac:dyDescent="0.35">
      <c r="G550" s="21"/>
    </row>
    <row r="551" spans="7:7" x14ac:dyDescent="0.35">
      <c r="G551" s="21"/>
    </row>
    <row r="552" spans="7:7" x14ac:dyDescent="0.35">
      <c r="G552" s="21"/>
    </row>
    <row r="553" spans="7:7" x14ac:dyDescent="0.35">
      <c r="G553" s="21"/>
    </row>
    <row r="554" spans="7:7" x14ac:dyDescent="0.35">
      <c r="G554" s="21"/>
    </row>
    <row r="555" spans="7:7" x14ac:dyDescent="0.35">
      <c r="G555" s="21"/>
    </row>
    <row r="556" spans="7:7" x14ac:dyDescent="0.35">
      <c r="G556" s="21"/>
    </row>
    <row r="557" spans="7:7" x14ac:dyDescent="0.35">
      <c r="G557" s="21"/>
    </row>
    <row r="558" spans="7:7" x14ac:dyDescent="0.35">
      <c r="G558" s="21"/>
    </row>
    <row r="559" spans="7:7" x14ac:dyDescent="0.35">
      <c r="G559" s="21"/>
    </row>
    <row r="560" spans="7:7" x14ac:dyDescent="0.35">
      <c r="G560" s="21"/>
    </row>
    <row r="561" spans="7:7" x14ac:dyDescent="0.35">
      <c r="G561" s="21"/>
    </row>
    <row r="562" spans="7:7" x14ac:dyDescent="0.35">
      <c r="G562" s="21"/>
    </row>
    <row r="563" spans="7:7" x14ac:dyDescent="0.35">
      <c r="G563" s="21"/>
    </row>
    <row r="564" spans="7:7" x14ac:dyDescent="0.35">
      <c r="G564" s="21"/>
    </row>
    <row r="565" spans="7:7" x14ac:dyDescent="0.35">
      <c r="G565" s="21"/>
    </row>
    <row r="566" spans="7:7" x14ac:dyDescent="0.35">
      <c r="G566" s="21"/>
    </row>
    <row r="567" spans="7:7" x14ac:dyDescent="0.35">
      <c r="G567" s="21"/>
    </row>
    <row r="568" spans="7:7" x14ac:dyDescent="0.35">
      <c r="G568" s="21"/>
    </row>
    <row r="569" spans="7:7" x14ac:dyDescent="0.35">
      <c r="G569" s="21"/>
    </row>
    <row r="570" spans="7:7" x14ac:dyDescent="0.35">
      <c r="G570" s="21"/>
    </row>
    <row r="571" spans="7:7" x14ac:dyDescent="0.35">
      <c r="G571" s="21"/>
    </row>
    <row r="572" spans="7:7" x14ac:dyDescent="0.35">
      <c r="G572" s="21"/>
    </row>
    <row r="573" spans="7:7" x14ac:dyDescent="0.35">
      <c r="G573" s="21"/>
    </row>
    <row r="574" spans="7:7" x14ac:dyDescent="0.35">
      <c r="G574" s="21"/>
    </row>
    <row r="575" spans="7:7" x14ac:dyDescent="0.35">
      <c r="G575" s="21"/>
    </row>
    <row r="576" spans="7:7" x14ac:dyDescent="0.35">
      <c r="G576" s="21"/>
    </row>
    <row r="577" spans="7:7" x14ac:dyDescent="0.35">
      <c r="G577" s="21"/>
    </row>
    <row r="578" spans="7:7" x14ac:dyDescent="0.35">
      <c r="G578" s="21"/>
    </row>
    <row r="579" spans="7:7" x14ac:dyDescent="0.35">
      <c r="G579" s="21"/>
    </row>
    <row r="580" spans="7:7" x14ac:dyDescent="0.35">
      <c r="G580" s="21"/>
    </row>
    <row r="581" spans="7:7" x14ac:dyDescent="0.35">
      <c r="G581" s="21"/>
    </row>
    <row r="582" spans="7:7" x14ac:dyDescent="0.35">
      <c r="G582" s="21"/>
    </row>
    <row r="583" spans="7:7" x14ac:dyDescent="0.35">
      <c r="G583" s="21"/>
    </row>
    <row r="584" spans="7:7" x14ac:dyDescent="0.35">
      <c r="G584" s="21"/>
    </row>
    <row r="585" spans="7:7" x14ac:dyDescent="0.35">
      <c r="G585" s="21"/>
    </row>
    <row r="586" spans="7:7" x14ac:dyDescent="0.35">
      <c r="G586" s="21"/>
    </row>
    <row r="587" spans="7:7" x14ac:dyDescent="0.35">
      <c r="G587" s="21"/>
    </row>
    <row r="588" spans="7:7" x14ac:dyDescent="0.35">
      <c r="G588" s="21"/>
    </row>
    <row r="589" spans="7:7" x14ac:dyDescent="0.35">
      <c r="G589" s="21"/>
    </row>
    <row r="590" spans="7:7" x14ac:dyDescent="0.35">
      <c r="G590" s="21"/>
    </row>
    <row r="591" spans="7:7" x14ac:dyDescent="0.35">
      <c r="G591" s="21"/>
    </row>
    <row r="592" spans="7:7" x14ac:dyDescent="0.35">
      <c r="G592" s="21"/>
    </row>
    <row r="593" spans="7:7" x14ac:dyDescent="0.35">
      <c r="G593" s="21"/>
    </row>
    <row r="594" spans="7:7" x14ac:dyDescent="0.35">
      <c r="G594" s="21"/>
    </row>
    <row r="595" spans="7:7" x14ac:dyDescent="0.35">
      <c r="G595" s="21"/>
    </row>
    <row r="596" spans="7:7" x14ac:dyDescent="0.35">
      <c r="G596" s="34"/>
    </row>
    <row r="597" spans="7:7" x14ac:dyDescent="0.35">
      <c r="G597" s="34"/>
    </row>
    <row r="598" spans="7:7" x14ac:dyDescent="0.35">
      <c r="G598" s="35"/>
    </row>
    <row r="599" spans="7:7" x14ac:dyDescent="0.35">
      <c r="G599" s="35"/>
    </row>
    <row r="600" spans="7:7" x14ac:dyDescent="0.35">
      <c r="G600" s="35"/>
    </row>
    <row r="601" spans="7:7" x14ac:dyDescent="0.35">
      <c r="G601" s="35"/>
    </row>
    <row r="602" spans="7:7" x14ac:dyDescent="0.35">
      <c r="G602" s="35"/>
    </row>
    <row r="603" spans="7:7" x14ac:dyDescent="0.35">
      <c r="G603" s="35"/>
    </row>
    <row r="604" spans="7:7" x14ac:dyDescent="0.35">
      <c r="G604" s="36"/>
    </row>
    <row r="605" spans="7:7" x14ac:dyDescent="0.35">
      <c r="G605" s="35"/>
    </row>
    <row r="606" spans="7:7" x14ac:dyDescent="0.35">
      <c r="G606" s="35"/>
    </row>
    <row r="607" spans="7:7" x14ac:dyDescent="0.35">
      <c r="G607" s="36"/>
    </row>
    <row r="608" spans="7:7" x14ac:dyDescent="0.35">
      <c r="G608" s="35"/>
    </row>
    <row r="609" spans="4:7" x14ac:dyDescent="0.35">
      <c r="G609" s="35"/>
    </row>
    <row r="610" spans="4:7" x14ac:dyDescent="0.35">
      <c r="G610" s="35"/>
    </row>
    <row r="611" spans="4:7" x14ac:dyDescent="0.35">
      <c r="G611" s="35"/>
    </row>
    <row r="612" spans="4:7" x14ac:dyDescent="0.35">
      <c r="G612" s="35"/>
    </row>
    <row r="613" spans="4:7" x14ac:dyDescent="0.35">
      <c r="D613" s="37"/>
      <c r="E613" s="38"/>
      <c r="F613" s="38"/>
      <c r="G613" s="35"/>
    </row>
    <row r="614" spans="4:7" x14ac:dyDescent="0.35">
      <c r="D614" s="37"/>
      <c r="E614" s="39"/>
      <c r="F614" s="38"/>
      <c r="G614" s="35"/>
    </row>
    <row r="615" spans="4:7" x14ac:dyDescent="0.35">
      <c r="D615" s="38"/>
      <c r="E615" s="40"/>
      <c r="F615" s="40"/>
      <c r="G615" s="35"/>
    </row>
    <row r="616" spans="4:7" x14ac:dyDescent="0.35">
      <c r="D616" s="38"/>
      <c r="E616" s="40"/>
      <c r="F616" s="40"/>
      <c r="G616" s="21"/>
    </row>
    <row r="617" spans="4:7" x14ac:dyDescent="0.35">
      <c r="D617" s="41"/>
      <c r="E617" s="40"/>
      <c r="F617" s="40"/>
      <c r="G617" s="21"/>
    </row>
    <row r="618" spans="4:7" x14ac:dyDescent="0.35">
      <c r="D618" s="41"/>
      <c r="E618" s="40"/>
      <c r="F618" s="42"/>
      <c r="G618" s="21"/>
    </row>
    <row r="619" spans="4:7" x14ac:dyDescent="0.35">
      <c r="D619" s="38"/>
      <c r="E619" s="40"/>
      <c r="F619" s="40"/>
      <c r="G619" s="21"/>
    </row>
    <row r="620" spans="4:7" x14ac:dyDescent="0.35">
      <c r="D620" s="38"/>
      <c r="E620" s="40"/>
      <c r="F620" s="43"/>
      <c r="G620" s="21"/>
    </row>
    <row r="621" spans="4:7" x14ac:dyDescent="0.35">
      <c r="D621" s="38"/>
      <c r="E621" s="40"/>
      <c r="F621" s="40"/>
      <c r="G621" s="21"/>
    </row>
    <row r="622" spans="4:7" x14ac:dyDescent="0.35">
      <c r="D622" s="38"/>
      <c r="E622" s="40"/>
      <c r="F622" s="40"/>
      <c r="G622" s="21"/>
    </row>
    <row r="623" spans="4:7" x14ac:dyDescent="0.35">
      <c r="D623" s="38"/>
      <c r="E623" s="40"/>
      <c r="F623" s="40"/>
      <c r="G623" s="21"/>
    </row>
    <row r="624" spans="4:7" x14ac:dyDescent="0.35">
      <c r="D624" s="41"/>
      <c r="E624" s="39"/>
      <c r="F624" s="39"/>
      <c r="G624" s="21"/>
    </row>
    <row r="625" spans="4:7" x14ac:dyDescent="0.35">
      <c r="D625" s="38"/>
      <c r="E625" s="40"/>
      <c r="F625" s="40"/>
      <c r="G625" s="21"/>
    </row>
    <row r="626" spans="4:7" x14ac:dyDescent="0.35">
      <c r="D626" s="38"/>
      <c r="E626" s="40"/>
      <c r="F626" s="40"/>
      <c r="G626" s="21"/>
    </row>
    <row r="627" spans="4:7" x14ac:dyDescent="0.35">
      <c r="D627" s="38"/>
      <c r="E627" s="40"/>
      <c r="F627" s="40"/>
      <c r="G627" s="21"/>
    </row>
    <row r="628" spans="4:7" x14ac:dyDescent="0.35">
      <c r="D628" s="38"/>
      <c r="E628" s="40"/>
      <c r="F628" s="40"/>
      <c r="G628" s="21"/>
    </row>
    <row r="629" spans="4:7" x14ac:dyDescent="0.35">
      <c r="D629" s="38"/>
      <c r="E629" s="40"/>
      <c r="F629" s="40"/>
      <c r="G629" s="21"/>
    </row>
    <row r="630" spans="4:7" x14ac:dyDescent="0.35">
      <c r="D630" s="38"/>
      <c r="E630" s="40"/>
      <c r="F630" s="40"/>
      <c r="G630" s="21"/>
    </row>
    <row r="631" spans="4:7" x14ac:dyDescent="0.35">
      <c r="D631" s="38"/>
      <c r="E631" s="40"/>
      <c r="F631" s="40"/>
      <c r="G631" s="21"/>
    </row>
    <row r="632" spans="4:7" x14ac:dyDescent="0.35">
      <c r="D632" s="38"/>
      <c r="E632" s="40"/>
      <c r="F632" s="40"/>
      <c r="G632" s="21"/>
    </row>
    <row r="633" spans="4:7" x14ac:dyDescent="0.35">
      <c r="G633" s="21"/>
    </row>
    <row r="634" spans="4:7" x14ac:dyDescent="0.35">
      <c r="G634" s="21"/>
    </row>
    <row r="635" spans="4:7" x14ac:dyDescent="0.35">
      <c r="G635" s="21"/>
    </row>
    <row r="636" spans="4:7" x14ac:dyDescent="0.35">
      <c r="G636" s="21"/>
    </row>
    <row r="637" spans="4:7" x14ac:dyDescent="0.35">
      <c r="G637" s="21"/>
    </row>
    <row r="638" spans="4:7" x14ac:dyDescent="0.35">
      <c r="G638" s="21"/>
    </row>
    <row r="639" spans="4:7" x14ac:dyDescent="0.35">
      <c r="G639" s="21"/>
    </row>
    <row r="640" spans="4:7" x14ac:dyDescent="0.35">
      <c r="G640" s="21"/>
    </row>
    <row r="641" spans="7:7" x14ac:dyDescent="0.35">
      <c r="G641" s="21"/>
    </row>
    <row r="642" spans="7:7" x14ac:dyDescent="0.35">
      <c r="G642" s="21"/>
    </row>
    <row r="643" spans="7:7" x14ac:dyDescent="0.35">
      <c r="G643" s="21"/>
    </row>
    <row r="644" spans="7:7" x14ac:dyDescent="0.35">
      <c r="G644" s="21"/>
    </row>
    <row r="645" spans="7:7" x14ac:dyDescent="0.35">
      <c r="G645" s="21"/>
    </row>
    <row r="646" spans="7:7" x14ac:dyDescent="0.35">
      <c r="G646" s="21"/>
    </row>
    <row r="647" spans="7:7" x14ac:dyDescent="0.35">
      <c r="G647" s="21"/>
    </row>
    <row r="648" spans="7:7" x14ac:dyDescent="0.35">
      <c r="G648" s="21"/>
    </row>
    <row r="649" spans="7:7" x14ac:dyDescent="0.35">
      <c r="G649" s="21"/>
    </row>
    <row r="650" spans="7:7" x14ac:dyDescent="0.35">
      <c r="G650" s="21"/>
    </row>
    <row r="651" spans="7:7" x14ac:dyDescent="0.35">
      <c r="G651" s="21"/>
    </row>
    <row r="652" spans="7:7" x14ac:dyDescent="0.35">
      <c r="G652" s="21"/>
    </row>
    <row r="653" spans="7:7" x14ac:dyDescent="0.35">
      <c r="G653" s="21"/>
    </row>
    <row r="654" spans="7:7" x14ac:dyDescent="0.35">
      <c r="G654" s="21"/>
    </row>
    <row r="655" spans="7:7" x14ac:dyDescent="0.35">
      <c r="G655" s="21"/>
    </row>
    <row r="656" spans="7:7" x14ac:dyDescent="0.35">
      <c r="G656" s="21"/>
    </row>
    <row r="657" spans="7:7" x14ac:dyDescent="0.35">
      <c r="G657" s="21"/>
    </row>
    <row r="658" spans="7:7" x14ac:dyDescent="0.35">
      <c r="G658" s="21"/>
    </row>
    <row r="659" spans="7:7" x14ac:dyDescent="0.35">
      <c r="G659" s="21"/>
    </row>
    <row r="660" spans="7:7" x14ac:dyDescent="0.35">
      <c r="G660" s="21"/>
    </row>
    <row r="661" spans="7:7" x14ac:dyDescent="0.35">
      <c r="G661" s="21"/>
    </row>
    <row r="662" spans="7:7" x14ac:dyDescent="0.35">
      <c r="G662" s="21"/>
    </row>
    <row r="663" spans="7:7" x14ac:dyDescent="0.35">
      <c r="G663" s="21"/>
    </row>
    <row r="664" spans="7:7" x14ac:dyDescent="0.35">
      <c r="G664" s="21"/>
    </row>
    <row r="665" spans="7:7" x14ac:dyDescent="0.35">
      <c r="G665" s="21"/>
    </row>
    <row r="666" spans="7:7" x14ac:dyDescent="0.35">
      <c r="G666" s="21"/>
    </row>
    <row r="667" spans="7:7" x14ac:dyDescent="0.35">
      <c r="G667" s="21"/>
    </row>
    <row r="668" spans="7:7" x14ac:dyDescent="0.35">
      <c r="G668" s="21"/>
    </row>
    <row r="669" spans="7:7" x14ac:dyDescent="0.35">
      <c r="G669" s="21"/>
    </row>
    <row r="670" spans="7:7" x14ac:dyDescent="0.35">
      <c r="G670" s="21"/>
    </row>
    <row r="671" spans="7:7" x14ac:dyDescent="0.35">
      <c r="G671" s="21"/>
    </row>
    <row r="672" spans="7:7" x14ac:dyDescent="0.35">
      <c r="G672" s="21"/>
    </row>
    <row r="673" spans="2:7" x14ac:dyDescent="0.35">
      <c r="G673" s="21"/>
    </row>
    <row r="674" spans="2:7" x14ac:dyDescent="0.35">
      <c r="G674" s="21"/>
    </row>
    <row r="675" spans="2:7" x14ac:dyDescent="0.35">
      <c r="G675" s="21"/>
    </row>
    <row r="676" spans="2:7" x14ac:dyDescent="0.35">
      <c r="G676" s="21"/>
    </row>
    <row r="677" spans="2:7" x14ac:dyDescent="0.35">
      <c r="G677" s="21"/>
    </row>
    <row r="678" spans="2:7" x14ac:dyDescent="0.35">
      <c r="G678" s="21"/>
    </row>
    <row r="679" spans="2:7" x14ac:dyDescent="0.35">
      <c r="G679" s="21"/>
    </row>
    <row r="680" spans="2:7" x14ac:dyDescent="0.35">
      <c r="B680" s="2" t="s">
        <v>840</v>
      </c>
    </row>
  </sheetData>
  <sheetProtection sheet="1" objects="1" scenarios="1" selectLockedCells="1"/>
  <phoneticPr fontId="4" type="noConversion"/>
  <hyperlinks>
    <hyperlink ref="B311" r:id="rId1" location="Fuel_efficiency_of_vehicles" xr:uid="{00000000-0004-0000-0000-000000000000}"/>
    <hyperlink ref="I4" location="UNITS!A1" display="UNITS" xr:uid="{00000000-0004-0000-0000-000001000000}"/>
    <hyperlink ref="I5" location="ENTROPY!A1" display="ENTROPY" xr:uid="{00000000-0004-0000-0000-000002000000}"/>
    <hyperlink ref="I6" location="'STEAM TURBINES'!A1" display="STEAM TURBINES" xr:uid="{00000000-0004-0000-0000-000003000000}"/>
    <hyperlink ref="I7" location="'GASOLINE ENGINES'!A1" display="GASOLINE ENGINES" xr:uid="{00000000-0004-0000-0000-000004000000}"/>
    <hyperlink ref="I8" location="'DIESEL ENGINES'!A1" display="DIESEL ENGINES" xr:uid="{00000000-0004-0000-0000-000005000000}"/>
    <hyperlink ref="I9" location="'GAS TURBINES'!A1" display="GAS TURBINES" xr:uid="{00000000-0004-0000-0000-000006000000}"/>
    <hyperlink ref="I10" location="'AIR PROPERTIES'!A1" display="AIR PROPERTIES" xr:uid="{00000000-0004-0000-0000-000007000000}"/>
    <hyperlink ref="I11" location="'MATH TOOLS'!A1" display="MATH TOOLS" xr:uid="{00000000-0004-0000-0000-000008000000}"/>
  </hyperlinks>
  <pageMargins left="0.75" right="0.75" top="1" bottom="1" header="0.5" footer="0.5"/>
  <pageSetup orientation="portrait" horizontalDpi="300" verticalDpi="30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226"/>
  <sheetViews>
    <sheetView topLeftCell="A8" zoomScaleNormal="100" workbookViewId="0">
      <selection activeCell="I14" sqref="I14"/>
    </sheetView>
  </sheetViews>
  <sheetFormatPr defaultColWidth="8.7265625" defaultRowHeight="15.5" x14ac:dyDescent="0.35"/>
  <cols>
    <col min="1" max="1" width="7.453125" style="20" customWidth="1"/>
    <col min="2" max="2" width="17.453125" style="20" customWidth="1"/>
    <col min="3" max="3" width="16.54296875" style="20" customWidth="1"/>
    <col min="4" max="4" width="16.08984375" style="20" customWidth="1"/>
    <col min="5" max="5" width="11.54296875" style="20" customWidth="1"/>
    <col min="6" max="6" width="17" style="20" customWidth="1"/>
    <col min="7" max="8" width="8.7265625" style="20"/>
    <col min="9" max="9" width="19.453125" style="20" customWidth="1"/>
    <col min="10" max="10" width="25.1796875" style="20" customWidth="1"/>
    <col min="11" max="11" width="23.1796875" style="20" customWidth="1"/>
    <col min="12" max="12" width="17.54296875" style="20" customWidth="1"/>
    <col min="13" max="17" width="8.7265625" style="20"/>
    <col min="18" max="18" width="31.1796875" style="20" customWidth="1"/>
    <col min="19" max="16384" width="8.7265625" style="20"/>
  </cols>
  <sheetData>
    <row r="1" spans="2:27" ht="20" x14ac:dyDescent="0.4">
      <c r="B1" s="51" t="s">
        <v>517</v>
      </c>
      <c r="H1" s="21"/>
      <c r="I1" s="21"/>
      <c r="J1" s="21"/>
      <c r="K1" s="21"/>
      <c r="L1" s="21"/>
      <c r="M1" s="21"/>
      <c r="N1" s="21"/>
      <c r="O1" s="21"/>
      <c r="P1" s="21"/>
      <c r="Q1" s="21"/>
      <c r="R1" s="21"/>
    </row>
    <row r="2" spans="2:27" x14ac:dyDescent="0.35">
      <c r="B2" s="27"/>
      <c r="H2" s="21"/>
      <c r="I2" s="21"/>
      <c r="J2" s="21"/>
      <c r="K2" s="21"/>
      <c r="L2" s="21"/>
      <c r="M2" s="21"/>
      <c r="N2" s="21"/>
      <c r="O2" s="21"/>
      <c r="P2" s="21"/>
      <c r="Q2" s="21"/>
      <c r="R2" s="21"/>
    </row>
    <row r="3" spans="2:27" ht="18" x14ac:dyDescent="0.4">
      <c r="B3" s="52" t="s">
        <v>458</v>
      </c>
      <c r="H3" s="21"/>
      <c r="I3" s="21"/>
      <c r="J3" s="21"/>
      <c r="K3" s="21"/>
      <c r="L3" s="21"/>
      <c r="M3" s="21"/>
      <c r="N3" s="21"/>
      <c r="O3" s="21"/>
      <c r="P3" s="21"/>
      <c r="Q3" s="21"/>
      <c r="R3" s="21"/>
    </row>
    <row r="4" spans="2:27" x14ac:dyDescent="0.35">
      <c r="H4" s="21"/>
      <c r="I4" s="21"/>
      <c r="J4" s="21"/>
      <c r="K4" s="21"/>
      <c r="L4" s="21"/>
      <c r="M4" s="21"/>
      <c r="N4" s="21"/>
      <c r="O4" s="21"/>
      <c r="P4" s="21"/>
      <c r="Q4" s="21"/>
      <c r="R4" s="21"/>
    </row>
    <row r="5" spans="2:27" ht="20" x14ac:dyDescent="0.4">
      <c r="B5" s="25" t="s">
        <v>1012</v>
      </c>
      <c r="C5" s="25"/>
      <c r="D5" s="25" t="s">
        <v>865</v>
      </c>
      <c r="F5" s="41" t="s">
        <v>866</v>
      </c>
      <c r="H5" s="21"/>
      <c r="I5" s="21"/>
      <c r="J5" s="295"/>
      <c r="K5" s="36"/>
      <c r="L5" s="177"/>
      <c r="M5" s="296"/>
      <c r="N5" s="34"/>
      <c r="O5" s="36"/>
      <c r="P5" s="36"/>
      <c r="Q5" s="36"/>
      <c r="R5" s="36"/>
      <c r="S5" s="21"/>
      <c r="T5" s="21"/>
      <c r="U5" s="21"/>
      <c r="V5" s="21"/>
      <c r="W5" s="21"/>
      <c r="X5" s="21"/>
      <c r="Y5" s="21"/>
      <c r="Z5" s="21"/>
      <c r="AA5" s="21"/>
    </row>
    <row r="6" spans="2:27" x14ac:dyDescent="0.35">
      <c r="H6" s="21"/>
      <c r="I6" s="21"/>
      <c r="J6" s="297"/>
      <c r="K6" s="36"/>
      <c r="L6" s="36"/>
      <c r="M6" s="36"/>
      <c r="N6" s="36"/>
      <c r="O6" s="36"/>
      <c r="P6" s="36"/>
      <c r="Q6" s="36"/>
      <c r="R6" s="36"/>
      <c r="S6" s="21"/>
      <c r="T6" s="21"/>
      <c r="U6" s="21"/>
      <c r="V6" s="21"/>
      <c r="W6" s="21"/>
      <c r="X6" s="21"/>
      <c r="Y6" s="21"/>
      <c r="Z6" s="21"/>
      <c r="AA6" s="21"/>
    </row>
    <row r="7" spans="2:27" x14ac:dyDescent="0.35">
      <c r="B7" s="20" t="s">
        <v>872</v>
      </c>
      <c r="H7" s="21"/>
      <c r="I7" s="21"/>
      <c r="J7" s="36"/>
      <c r="K7" s="36"/>
      <c r="L7" s="36"/>
      <c r="M7" s="36"/>
      <c r="N7" s="36"/>
      <c r="O7" s="36"/>
      <c r="P7" s="36"/>
      <c r="Q7" s="36"/>
      <c r="R7" s="36"/>
      <c r="S7" s="21"/>
      <c r="T7" s="21"/>
      <c r="U7" s="21"/>
      <c r="V7" s="21"/>
      <c r="W7" s="21"/>
      <c r="X7" s="21"/>
      <c r="Y7" s="21"/>
      <c r="Z7" s="21"/>
      <c r="AA7" s="21"/>
    </row>
    <row r="8" spans="2:27" x14ac:dyDescent="0.35">
      <c r="B8" s="20" t="s">
        <v>873</v>
      </c>
      <c r="H8" s="21"/>
      <c r="I8" s="21"/>
      <c r="J8" s="177"/>
      <c r="K8" s="111"/>
      <c r="L8" s="126"/>
      <c r="M8" s="111"/>
      <c r="N8" s="111"/>
      <c r="O8" s="111"/>
      <c r="P8" s="111"/>
      <c r="Q8" s="111"/>
      <c r="R8" s="111"/>
      <c r="S8" s="104"/>
      <c r="T8" s="104"/>
      <c r="U8" s="104"/>
      <c r="V8" s="104"/>
      <c r="W8" s="104"/>
      <c r="X8" s="104"/>
      <c r="Y8" s="104"/>
      <c r="Z8" s="21"/>
      <c r="AA8" s="21"/>
    </row>
    <row r="9" spans="2:27" x14ac:dyDescent="0.35">
      <c r="C9" s="29"/>
      <c r="F9" s="26"/>
      <c r="H9" s="21"/>
      <c r="I9" s="21"/>
      <c r="J9" s="114"/>
      <c r="K9" s="111"/>
      <c r="L9" s="126"/>
      <c r="M9" s="111"/>
      <c r="N9" s="111"/>
      <c r="O9" s="111"/>
      <c r="P9" s="111"/>
      <c r="Q9" s="111"/>
      <c r="R9" s="111"/>
      <c r="S9" s="104"/>
      <c r="T9" s="104"/>
      <c r="U9" s="104"/>
      <c r="V9" s="104"/>
      <c r="W9" s="104"/>
      <c r="X9" s="104"/>
      <c r="Y9" s="104"/>
      <c r="Z9" s="21"/>
      <c r="AA9" s="21"/>
    </row>
    <row r="10" spans="2:27" ht="16" thickBot="1" x14ac:dyDescent="0.4">
      <c r="B10" s="53"/>
      <c r="C10" s="54" t="s">
        <v>13</v>
      </c>
      <c r="D10" s="55"/>
      <c r="E10" s="55"/>
      <c r="F10" s="54" t="s">
        <v>13</v>
      </c>
      <c r="G10" s="55"/>
      <c r="H10" s="21"/>
      <c r="I10" s="21"/>
      <c r="J10" s="114"/>
      <c r="K10" s="111"/>
      <c r="L10" s="111"/>
      <c r="M10" s="111"/>
      <c r="N10" s="111"/>
      <c r="O10" s="111"/>
      <c r="P10" s="111"/>
      <c r="Q10" s="111"/>
      <c r="R10" s="111"/>
      <c r="S10" s="104"/>
      <c r="T10" s="104"/>
      <c r="U10" s="104"/>
      <c r="V10" s="104"/>
      <c r="W10" s="104"/>
      <c r="X10" s="104"/>
      <c r="Y10" s="104"/>
      <c r="Z10" s="21"/>
      <c r="AA10" s="21"/>
    </row>
    <row r="11" spans="2:27" ht="16" thickBot="1" x14ac:dyDescent="0.4">
      <c r="B11" s="53" t="s">
        <v>7</v>
      </c>
      <c r="C11" s="56">
        <v>950</v>
      </c>
      <c r="D11" s="57" t="s">
        <v>9</v>
      </c>
      <c r="E11" s="53" t="s">
        <v>7</v>
      </c>
      <c r="F11" s="56">
        <v>600</v>
      </c>
      <c r="G11" s="57" t="s">
        <v>8</v>
      </c>
      <c r="H11" s="21"/>
      <c r="I11" s="21"/>
      <c r="J11" s="114"/>
      <c r="K11" s="111"/>
      <c r="L11" s="111"/>
      <c r="M11" s="111"/>
      <c r="N11" s="111"/>
      <c r="O11" s="111"/>
      <c r="P11" s="111"/>
      <c r="Q11" s="111"/>
      <c r="R11" s="111"/>
      <c r="S11" s="104"/>
      <c r="T11" s="104"/>
      <c r="U11" s="104"/>
      <c r="V11" s="104"/>
      <c r="W11" s="104"/>
      <c r="X11" s="104"/>
      <c r="Y11" s="104"/>
      <c r="Z11" s="21"/>
      <c r="AA11" s="21"/>
    </row>
    <row r="12" spans="2:27" x14ac:dyDescent="0.35">
      <c r="B12" s="53" t="s">
        <v>7</v>
      </c>
      <c r="C12" s="57" t="s">
        <v>456</v>
      </c>
      <c r="D12" s="57"/>
      <c r="E12" s="53" t="s">
        <v>7</v>
      </c>
      <c r="F12" s="10" t="s">
        <v>457</v>
      </c>
      <c r="G12" s="55"/>
      <c r="H12" s="21"/>
      <c r="I12" s="21"/>
      <c r="J12" s="114"/>
      <c r="K12" s="111"/>
      <c r="L12" s="111"/>
      <c r="M12" s="111"/>
      <c r="N12" s="111"/>
      <c r="O12" s="111"/>
      <c r="P12" s="111"/>
      <c r="Q12" s="111"/>
      <c r="R12" s="111"/>
      <c r="S12" s="104"/>
      <c r="T12" s="104"/>
      <c r="U12" s="104"/>
      <c r="V12" s="104"/>
      <c r="W12" s="104"/>
      <c r="X12" s="104"/>
      <c r="Y12" s="104"/>
      <c r="Z12" s="21"/>
      <c r="AA12" s="21"/>
    </row>
    <row r="13" spans="2:27" x14ac:dyDescent="0.35">
      <c r="B13" s="53" t="s">
        <v>7</v>
      </c>
      <c r="C13" s="58">
        <f>5*(C11 - 32)/9</f>
        <v>510</v>
      </c>
      <c r="D13" s="57" t="s">
        <v>8</v>
      </c>
      <c r="E13" s="53" t="s">
        <v>7</v>
      </c>
      <c r="F13" s="57">
        <f>(9*F11/5) + 32</f>
        <v>1112</v>
      </c>
      <c r="G13" s="57" t="s">
        <v>9</v>
      </c>
      <c r="H13" s="21"/>
      <c r="I13" s="21"/>
      <c r="J13" s="177"/>
      <c r="K13" s="111"/>
      <c r="L13" s="111"/>
      <c r="M13" s="111"/>
      <c r="N13" s="112"/>
      <c r="O13" s="111"/>
      <c r="P13" s="111"/>
      <c r="Q13" s="111"/>
      <c r="R13" s="111"/>
      <c r="S13" s="104"/>
      <c r="T13" s="104"/>
      <c r="U13" s="104"/>
      <c r="V13" s="104"/>
      <c r="W13" s="104"/>
      <c r="X13" s="104"/>
      <c r="Y13" s="104"/>
      <c r="Z13" s="21"/>
      <c r="AA13" s="21"/>
    </row>
    <row r="14" spans="2:27" x14ac:dyDescent="0.35">
      <c r="B14" s="53"/>
      <c r="C14" s="55"/>
      <c r="D14" s="55"/>
      <c r="E14" s="55"/>
      <c r="F14" s="55"/>
      <c r="G14" s="55"/>
      <c r="H14" s="21"/>
      <c r="I14" s="21"/>
      <c r="J14" s="114"/>
      <c r="K14" s="111"/>
      <c r="L14" s="111"/>
      <c r="M14" s="113"/>
      <c r="N14" s="111"/>
      <c r="O14" s="111"/>
      <c r="P14" s="111"/>
      <c r="Q14" s="113"/>
      <c r="R14" s="111"/>
      <c r="S14" s="104"/>
      <c r="T14" s="104"/>
      <c r="U14" s="104"/>
      <c r="V14" s="104"/>
      <c r="W14" s="104"/>
      <c r="X14" s="104"/>
      <c r="Y14" s="104"/>
      <c r="Z14" s="21"/>
      <c r="AA14" s="21"/>
    </row>
    <row r="15" spans="2:27" ht="16" thickBot="1" x14ac:dyDescent="0.4">
      <c r="C15" s="54" t="s">
        <v>13</v>
      </c>
      <c r="D15" s="59"/>
      <c r="E15" s="53"/>
      <c r="F15" s="54" t="s">
        <v>13</v>
      </c>
      <c r="G15" s="59"/>
      <c r="H15" s="21"/>
      <c r="I15" s="21"/>
      <c r="J15" s="114"/>
      <c r="K15" s="111"/>
      <c r="L15" s="111"/>
      <c r="M15" s="114"/>
      <c r="N15" s="115"/>
      <c r="O15" s="111"/>
      <c r="P15" s="111"/>
      <c r="Q15" s="111"/>
      <c r="R15" s="111"/>
      <c r="S15" s="104"/>
      <c r="T15" s="104"/>
      <c r="U15" s="104"/>
      <c r="V15" s="104"/>
      <c r="W15" s="104"/>
      <c r="X15" s="104"/>
      <c r="Y15" s="104"/>
      <c r="Z15" s="21"/>
      <c r="AA15" s="21"/>
    </row>
    <row r="16" spans="2:27" ht="16" thickBot="1" x14ac:dyDescent="0.4">
      <c r="B16" s="53" t="s">
        <v>7</v>
      </c>
      <c r="C16" s="56">
        <v>590</v>
      </c>
      <c r="D16" s="57" t="s">
        <v>8</v>
      </c>
      <c r="E16" s="53" t="s">
        <v>7</v>
      </c>
      <c r="F16" s="60">
        <v>1110</v>
      </c>
      <c r="G16" s="57" t="s">
        <v>9</v>
      </c>
      <c r="H16" s="21"/>
      <c r="I16" s="21"/>
      <c r="J16" s="114"/>
      <c r="K16" s="111"/>
      <c r="L16" s="111"/>
      <c r="M16" s="116"/>
      <c r="N16" s="117"/>
      <c r="O16" s="111"/>
      <c r="P16" s="111"/>
      <c r="Q16" s="111"/>
      <c r="R16" s="111"/>
      <c r="S16" s="104"/>
      <c r="T16" s="104"/>
      <c r="U16" s="104"/>
      <c r="V16" s="104"/>
      <c r="W16" s="104"/>
      <c r="X16" s="104"/>
      <c r="Y16" s="104"/>
      <c r="Z16" s="14"/>
      <c r="AA16" s="21"/>
    </row>
    <row r="17" spans="2:27" x14ac:dyDescent="0.35">
      <c r="B17" s="53" t="s">
        <v>7</v>
      </c>
      <c r="C17" s="57" t="s">
        <v>423</v>
      </c>
      <c r="D17" s="57"/>
      <c r="E17" s="53" t="s">
        <v>7</v>
      </c>
      <c r="F17" s="10" t="s">
        <v>459</v>
      </c>
      <c r="G17" s="57"/>
      <c r="H17" s="21"/>
      <c r="I17" s="21"/>
      <c r="J17" s="113"/>
      <c r="K17" s="111"/>
      <c r="L17" s="111"/>
      <c r="M17" s="114"/>
      <c r="N17" s="115"/>
      <c r="O17" s="111"/>
      <c r="P17" s="111"/>
      <c r="Q17" s="111"/>
      <c r="R17" s="111"/>
      <c r="S17" s="104"/>
      <c r="T17" s="104"/>
      <c r="U17" s="104"/>
      <c r="V17" s="104"/>
      <c r="W17" s="104"/>
      <c r="X17" s="104"/>
      <c r="Y17" s="104"/>
      <c r="Z17" s="14"/>
      <c r="AA17" s="21"/>
    </row>
    <row r="18" spans="2:27" x14ac:dyDescent="0.35">
      <c r="B18" s="53" t="s">
        <v>7</v>
      </c>
      <c r="C18" s="57">
        <f>C16 + 273</f>
        <v>863</v>
      </c>
      <c r="D18" s="57" t="s">
        <v>10</v>
      </c>
      <c r="E18" s="53" t="s">
        <v>7</v>
      </c>
      <c r="F18" s="57">
        <f>F16+460</f>
        <v>1570</v>
      </c>
      <c r="G18" s="57" t="s">
        <v>11</v>
      </c>
      <c r="H18" s="21"/>
      <c r="I18" s="21"/>
      <c r="J18" s="111"/>
      <c r="K18" s="111"/>
      <c r="L18" s="111"/>
      <c r="M18" s="116"/>
      <c r="N18" s="118"/>
      <c r="O18" s="111"/>
      <c r="P18" s="111"/>
      <c r="Q18" s="111"/>
      <c r="R18" s="111"/>
      <c r="S18" s="104"/>
      <c r="T18" s="104"/>
      <c r="U18" s="104"/>
      <c r="V18" s="104"/>
      <c r="W18" s="104"/>
      <c r="X18" s="104"/>
      <c r="Y18" s="104"/>
      <c r="Z18" s="14"/>
      <c r="AA18" s="24"/>
    </row>
    <row r="19" spans="2:27" x14ac:dyDescent="0.35">
      <c r="G19" s="21"/>
      <c r="H19" s="21"/>
      <c r="I19" s="21"/>
      <c r="J19" s="111"/>
      <c r="K19" s="111"/>
      <c r="L19" s="111"/>
      <c r="M19" s="111"/>
      <c r="N19" s="111"/>
      <c r="O19" s="111"/>
      <c r="P19" s="111"/>
      <c r="Q19" s="111"/>
      <c r="R19" s="111"/>
      <c r="S19" s="104"/>
      <c r="T19" s="104"/>
      <c r="U19" s="104"/>
      <c r="V19" s="104"/>
      <c r="W19" s="104"/>
      <c r="X19" s="104"/>
      <c r="Y19" s="104"/>
      <c r="Z19" s="14"/>
      <c r="AA19" s="100"/>
    </row>
    <row r="20" spans="2:27" ht="18" x14ac:dyDescent="0.4">
      <c r="B20" s="44" t="s">
        <v>781</v>
      </c>
      <c r="C20" s="25"/>
      <c r="D20" s="25"/>
      <c r="E20" s="25"/>
      <c r="F20" s="26"/>
      <c r="G20" s="21"/>
      <c r="H20" s="21"/>
      <c r="I20" s="21"/>
      <c r="J20" s="111"/>
      <c r="K20" s="111"/>
      <c r="L20" s="111"/>
      <c r="M20" s="111"/>
      <c r="N20" s="111"/>
      <c r="O20" s="111"/>
      <c r="P20" s="111"/>
      <c r="Q20" s="111"/>
      <c r="R20" s="111"/>
      <c r="S20" s="104"/>
      <c r="T20" s="104"/>
      <c r="U20" s="104"/>
      <c r="V20" s="104"/>
      <c r="W20" s="104"/>
      <c r="X20" s="104"/>
      <c r="Y20" s="104"/>
      <c r="Z20" s="14"/>
      <c r="AA20" s="100"/>
    </row>
    <row r="21" spans="2:27" x14ac:dyDescent="0.35">
      <c r="B21" s="25"/>
      <c r="C21" s="25"/>
      <c r="D21" s="25"/>
      <c r="E21" s="25"/>
      <c r="F21" s="26"/>
      <c r="G21" s="21"/>
      <c r="H21" s="21"/>
      <c r="I21" s="21"/>
      <c r="J21" s="111"/>
      <c r="K21" s="111"/>
      <c r="L21" s="111"/>
      <c r="M21" s="111"/>
      <c r="N21" s="111"/>
      <c r="O21" s="111"/>
      <c r="P21" s="111"/>
      <c r="Q21" s="111"/>
      <c r="R21" s="111"/>
      <c r="S21" s="104"/>
      <c r="T21" s="104"/>
      <c r="U21" s="104"/>
      <c r="V21" s="104"/>
      <c r="W21" s="104"/>
      <c r="X21" s="104"/>
      <c r="Y21" s="104"/>
      <c r="Z21" s="14"/>
      <c r="AA21" s="24"/>
    </row>
    <row r="22" spans="2:27" ht="16" thickBot="1" x14ac:dyDescent="0.4">
      <c r="C22" s="54" t="s">
        <v>13</v>
      </c>
      <c r="D22" s="27"/>
      <c r="F22" s="54" t="s">
        <v>13</v>
      </c>
      <c r="G22" s="27"/>
      <c r="H22" s="21"/>
      <c r="I22" s="21"/>
      <c r="J22" s="111"/>
      <c r="K22" s="111"/>
      <c r="L22" s="111"/>
      <c r="M22" s="111"/>
      <c r="N22" s="111"/>
      <c r="O22" s="111"/>
      <c r="P22" s="111"/>
      <c r="Q22" s="111"/>
      <c r="R22" s="111"/>
      <c r="S22" s="104"/>
      <c r="T22" s="104"/>
      <c r="U22" s="104"/>
      <c r="V22" s="104"/>
      <c r="W22" s="104"/>
      <c r="X22" s="104"/>
      <c r="Y22" s="104"/>
      <c r="Z22" s="21"/>
      <c r="AA22" s="100"/>
    </row>
    <row r="23" spans="2:27" ht="16" thickBot="1" x14ac:dyDescent="0.4">
      <c r="B23" s="53" t="s">
        <v>7</v>
      </c>
      <c r="C23" s="60">
        <v>650</v>
      </c>
      <c r="D23" s="57" t="s">
        <v>10</v>
      </c>
      <c r="E23" s="53" t="s">
        <v>7</v>
      </c>
      <c r="F23" s="60">
        <v>1170</v>
      </c>
      <c r="G23" s="57" t="s">
        <v>11</v>
      </c>
      <c r="H23" s="21"/>
      <c r="I23" s="21"/>
      <c r="J23" s="298"/>
      <c r="K23" s="111"/>
      <c r="L23" s="111"/>
      <c r="M23" s="111"/>
      <c r="N23" s="111"/>
      <c r="O23" s="111"/>
      <c r="P23" s="111"/>
      <c r="Q23" s="111"/>
      <c r="R23" s="111"/>
      <c r="S23" s="104"/>
      <c r="T23" s="104"/>
      <c r="U23" s="104"/>
      <c r="V23" s="104"/>
      <c r="W23" s="104"/>
      <c r="X23" s="104"/>
      <c r="Y23" s="104"/>
      <c r="Z23" s="21"/>
      <c r="AA23" s="24"/>
    </row>
    <row r="24" spans="2:27" x14ac:dyDescent="0.35">
      <c r="B24" s="53" t="s">
        <v>7</v>
      </c>
      <c r="C24" s="24">
        <f>C23*1.8</f>
        <v>1170</v>
      </c>
      <c r="D24" s="24" t="s">
        <v>11</v>
      </c>
      <c r="E24" s="53" t="s">
        <v>7</v>
      </c>
      <c r="F24" s="61">
        <f>F23/1.8</f>
        <v>650</v>
      </c>
      <c r="G24" s="24" t="s">
        <v>10</v>
      </c>
      <c r="H24" s="21"/>
      <c r="I24" s="21"/>
      <c r="J24" s="177"/>
      <c r="K24" s="111"/>
      <c r="L24" s="111"/>
      <c r="M24" s="111"/>
      <c r="N24" s="111"/>
      <c r="O24" s="111"/>
      <c r="P24" s="111"/>
      <c r="Q24" s="111"/>
      <c r="R24" s="111"/>
      <c r="S24" s="104"/>
      <c r="T24" s="104"/>
      <c r="U24" s="104"/>
      <c r="V24" s="104"/>
      <c r="W24" s="104"/>
      <c r="X24" s="104"/>
      <c r="Y24" s="104"/>
      <c r="Z24" s="21"/>
      <c r="AA24" s="21"/>
    </row>
    <row r="25" spans="2:27" ht="16" thickBot="1" x14ac:dyDescent="0.4">
      <c r="H25" s="21"/>
      <c r="I25" s="21"/>
      <c r="J25" s="177"/>
      <c r="K25" s="111"/>
      <c r="L25" s="111"/>
      <c r="M25" s="111"/>
      <c r="N25" s="111"/>
      <c r="O25" s="111"/>
      <c r="P25" s="111"/>
      <c r="Q25" s="111"/>
      <c r="R25" s="111"/>
      <c r="S25" s="104"/>
      <c r="T25" s="104"/>
      <c r="U25" s="104"/>
      <c r="V25" s="104"/>
      <c r="W25" s="104"/>
      <c r="X25" s="104"/>
      <c r="Y25" s="104"/>
      <c r="Z25" s="21"/>
      <c r="AA25" s="21"/>
    </row>
    <row r="26" spans="2:27" ht="16" thickBot="1" x14ac:dyDescent="0.4">
      <c r="B26" s="9" t="s">
        <v>547</v>
      </c>
      <c r="C26" s="8" t="s">
        <v>517</v>
      </c>
      <c r="D26" s="6" t="s">
        <v>527</v>
      </c>
      <c r="E26" s="8" t="s">
        <v>518</v>
      </c>
      <c r="F26" s="7" t="s">
        <v>517</v>
      </c>
      <c r="G26" s="21"/>
      <c r="H26" s="21"/>
      <c r="I26" s="21"/>
      <c r="J26" s="111"/>
      <c r="K26" s="111"/>
      <c r="L26" s="111"/>
      <c r="M26" s="111"/>
      <c r="N26" s="111"/>
      <c r="O26" s="111"/>
      <c r="P26" s="111"/>
      <c r="Q26" s="111"/>
      <c r="R26" s="111"/>
      <c r="S26" s="104"/>
      <c r="T26" s="104"/>
      <c r="U26" s="104"/>
      <c r="V26" s="104"/>
      <c r="W26" s="104"/>
      <c r="X26" s="104"/>
      <c r="Y26" s="104"/>
      <c r="Z26" s="21"/>
      <c r="AA26" s="21"/>
    </row>
    <row r="27" spans="2:27" x14ac:dyDescent="0.35">
      <c r="B27" s="62">
        <v>10</v>
      </c>
      <c r="C27" s="63" t="s">
        <v>24</v>
      </c>
      <c r="D27" s="64">
        <v>0.30480000000000002</v>
      </c>
      <c r="E27" s="65">
        <f>B27/D27</f>
        <v>32.808398950131235</v>
      </c>
      <c r="F27" s="66" t="s">
        <v>23</v>
      </c>
      <c r="G27" s="21"/>
      <c r="H27" s="21"/>
      <c r="I27" s="21"/>
      <c r="J27" s="111"/>
      <c r="K27" s="111"/>
      <c r="L27" s="111"/>
      <c r="M27" s="111"/>
      <c r="N27" s="111"/>
      <c r="O27" s="111"/>
      <c r="P27" s="111"/>
      <c r="Q27" s="111"/>
      <c r="R27" s="111"/>
      <c r="S27" s="104"/>
      <c r="T27" s="104"/>
      <c r="U27" s="104"/>
      <c r="V27" s="104"/>
      <c r="W27" s="104"/>
      <c r="X27" s="104"/>
      <c r="Y27" s="104"/>
      <c r="Z27" s="21"/>
      <c r="AA27" s="21"/>
    </row>
    <row r="28" spans="2:27" x14ac:dyDescent="0.35">
      <c r="B28" s="67">
        <v>10</v>
      </c>
      <c r="C28" s="68" t="s">
        <v>443</v>
      </c>
      <c r="D28" s="38">
        <v>0.4536</v>
      </c>
      <c r="E28" s="69">
        <f>B28/D28</f>
        <v>22.045855379188712</v>
      </c>
      <c r="F28" s="70" t="s">
        <v>520</v>
      </c>
      <c r="G28" s="21"/>
      <c r="H28" s="21"/>
      <c r="I28" s="21"/>
      <c r="J28" s="111"/>
      <c r="K28" s="111"/>
      <c r="L28" s="111"/>
      <c r="M28" s="111"/>
      <c r="N28" s="111"/>
      <c r="O28" s="111"/>
      <c r="P28" s="111"/>
      <c r="Q28" s="111"/>
      <c r="R28" s="111"/>
      <c r="S28" s="104"/>
      <c r="T28" s="104"/>
      <c r="U28" s="104"/>
      <c r="V28" s="104"/>
      <c r="W28" s="104"/>
      <c r="X28" s="104"/>
      <c r="Y28" s="104"/>
      <c r="Z28" s="21"/>
      <c r="AA28" s="21"/>
    </row>
    <row r="29" spans="2:27" x14ac:dyDescent="0.35">
      <c r="B29" s="67">
        <v>10</v>
      </c>
      <c r="C29" s="68" t="s">
        <v>521</v>
      </c>
      <c r="D29" s="71" t="s">
        <v>526</v>
      </c>
      <c r="E29" s="72">
        <f>B29</f>
        <v>10</v>
      </c>
      <c r="F29" s="70" t="s">
        <v>436</v>
      </c>
      <c r="G29" s="21"/>
      <c r="H29" s="21"/>
      <c r="I29" s="21"/>
      <c r="J29" s="111"/>
      <c r="K29" s="111"/>
      <c r="L29" s="111"/>
      <c r="M29" s="111"/>
      <c r="N29" s="111"/>
      <c r="O29" s="111"/>
      <c r="P29" s="111"/>
      <c r="Q29" s="111"/>
      <c r="R29" s="111"/>
      <c r="S29" s="104"/>
      <c r="T29" s="104"/>
      <c r="U29" s="104"/>
      <c r="V29" s="104"/>
      <c r="W29" s="104"/>
      <c r="X29" s="104"/>
      <c r="Y29" s="104"/>
      <c r="Z29" s="21"/>
      <c r="AA29" s="21"/>
    </row>
    <row r="30" spans="2:27" ht="17.5" x14ac:dyDescent="0.35">
      <c r="B30" s="67">
        <v>10</v>
      </c>
      <c r="C30" s="68" t="s">
        <v>850</v>
      </c>
      <c r="D30" s="73">
        <v>9.2899999999999996E-2</v>
      </c>
      <c r="E30" s="69">
        <f>B30/D30</f>
        <v>107.64262648008612</v>
      </c>
      <c r="F30" s="70" t="s">
        <v>851</v>
      </c>
      <c r="G30" s="21"/>
      <c r="H30" s="21"/>
      <c r="I30" s="21"/>
      <c r="J30" s="111"/>
      <c r="K30" s="111"/>
      <c r="L30" s="111"/>
      <c r="M30" s="111"/>
      <c r="N30" s="111"/>
      <c r="O30" s="111"/>
      <c r="P30" s="111"/>
      <c r="Q30" s="111"/>
      <c r="R30" s="111"/>
      <c r="S30" s="104"/>
      <c r="T30" s="104"/>
      <c r="U30" s="104"/>
      <c r="V30" s="104"/>
      <c r="W30" s="104"/>
      <c r="X30" s="104"/>
      <c r="Y30" s="104"/>
      <c r="Z30" s="21"/>
      <c r="AA30" s="21"/>
    </row>
    <row r="31" spans="2:27" ht="17.5" x14ac:dyDescent="0.35">
      <c r="B31" s="67">
        <v>10</v>
      </c>
      <c r="C31" s="68" t="s">
        <v>852</v>
      </c>
      <c r="D31" s="38">
        <v>2.8320000000000001E-2</v>
      </c>
      <c r="E31" s="69">
        <f>B31/D31</f>
        <v>353.10734463276833</v>
      </c>
      <c r="F31" s="70" t="s">
        <v>853</v>
      </c>
      <c r="G31" s="21"/>
      <c r="H31" s="21"/>
      <c r="I31" s="21"/>
      <c r="J31" s="111"/>
      <c r="K31" s="111"/>
      <c r="L31" s="111"/>
      <c r="M31" s="111"/>
      <c r="N31" s="111"/>
      <c r="O31" s="111"/>
      <c r="P31" s="111"/>
      <c r="Q31" s="111"/>
      <c r="R31" s="111"/>
      <c r="S31" s="104"/>
      <c r="T31" s="104"/>
      <c r="U31" s="104"/>
      <c r="V31" s="104"/>
      <c r="W31" s="104"/>
      <c r="X31" s="104"/>
      <c r="Y31" s="104"/>
      <c r="Z31" s="21"/>
      <c r="AA31" s="21"/>
    </row>
    <row r="32" spans="2:27" x14ac:dyDescent="0.35">
      <c r="B32" s="67">
        <v>10</v>
      </c>
      <c r="C32" s="68" t="s">
        <v>417</v>
      </c>
      <c r="D32" s="38">
        <v>0.30480000000000002</v>
      </c>
      <c r="E32" s="69">
        <f>B32/D32</f>
        <v>32.808398950131235</v>
      </c>
      <c r="F32" s="70" t="s">
        <v>491</v>
      </c>
      <c r="G32" s="21"/>
      <c r="H32" s="21"/>
      <c r="I32" s="21"/>
      <c r="J32" s="111"/>
      <c r="K32" s="111"/>
      <c r="L32" s="111"/>
      <c r="M32" s="111"/>
      <c r="N32" s="111"/>
      <c r="O32" s="111"/>
      <c r="P32" s="111"/>
      <c r="Q32" s="111"/>
      <c r="R32" s="111"/>
      <c r="S32" s="104"/>
      <c r="T32" s="104"/>
      <c r="U32" s="104"/>
      <c r="V32" s="104"/>
      <c r="W32" s="104"/>
      <c r="X32" s="104"/>
      <c r="Y32" s="104"/>
      <c r="Z32" s="21"/>
      <c r="AA32" s="21"/>
    </row>
    <row r="33" spans="2:27" ht="17.5" x14ac:dyDescent="0.35">
      <c r="B33" s="67">
        <v>10</v>
      </c>
      <c r="C33" s="68" t="s">
        <v>854</v>
      </c>
      <c r="D33" s="38">
        <v>0.30480000000000002</v>
      </c>
      <c r="E33" s="69">
        <f>B33/D33</f>
        <v>32.808398950131235</v>
      </c>
      <c r="F33" s="70" t="s">
        <v>855</v>
      </c>
      <c r="G33" s="21"/>
      <c r="H33" s="21"/>
      <c r="I33" s="21"/>
      <c r="J33" s="111"/>
      <c r="K33" s="111"/>
      <c r="L33" s="111"/>
      <c r="M33" s="111"/>
      <c r="N33" s="111"/>
      <c r="O33" s="111"/>
      <c r="P33" s="111"/>
      <c r="Q33" s="119"/>
      <c r="R33" s="119"/>
      <c r="S33" s="104"/>
      <c r="T33" s="104"/>
      <c r="U33" s="104"/>
      <c r="V33" s="104"/>
      <c r="W33" s="104"/>
      <c r="X33" s="104"/>
      <c r="Y33" s="104"/>
      <c r="Z33" s="21"/>
      <c r="AA33" s="21"/>
    </row>
    <row r="34" spans="2:27" ht="17.5" x14ac:dyDescent="0.35">
      <c r="B34" s="67">
        <v>10</v>
      </c>
      <c r="C34" s="68" t="s">
        <v>522</v>
      </c>
      <c r="D34" s="71" t="s">
        <v>526</v>
      </c>
      <c r="E34" s="72">
        <f>B34</f>
        <v>10</v>
      </c>
      <c r="F34" s="70" t="s">
        <v>856</v>
      </c>
      <c r="G34" s="21"/>
      <c r="H34" s="21"/>
      <c r="I34" s="21"/>
      <c r="J34" s="111"/>
      <c r="K34" s="111"/>
      <c r="L34" s="111"/>
      <c r="M34" s="111"/>
      <c r="N34" s="111"/>
      <c r="O34" s="111"/>
      <c r="P34" s="111"/>
      <c r="Q34" s="119"/>
      <c r="R34" s="125"/>
      <c r="S34" s="104"/>
      <c r="T34" s="104"/>
      <c r="U34" s="104"/>
      <c r="V34" s="104"/>
      <c r="W34" s="104"/>
      <c r="X34" s="104"/>
      <c r="Y34" s="104"/>
      <c r="Z34" s="21"/>
      <c r="AA34" s="21"/>
    </row>
    <row r="35" spans="2:27" x14ac:dyDescent="0.35">
      <c r="B35" s="67">
        <v>10</v>
      </c>
      <c r="C35" s="68" t="s">
        <v>27</v>
      </c>
      <c r="D35" s="38">
        <v>4.4480000000000004</v>
      </c>
      <c r="E35" s="69">
        <f t="shared" ref="E35:E50" si="0">B35/D35</f>
        <v>2.2482014388489207</v>
      </c>
      <c r="F35" s="70" t="s">
        <v>26</v>
      </c>
      <c r="G35" s="21"/>
      <c r="H35" s="21"/>
      <c r="I35" s="21"/>
      <c r="J35" s="111"/>
      <c r="K35" s="111"/>
      <c r="L35" s="111"/>
      <c r="M35" s="111"/>
      <c r="N35" s="113"/>
      <c r="O35" s="111"/>
      <c r="P35" s="111"/>
      <c r="Q35" s="119"/>
      <c r="R35" s="125"/>
      <c r="S35" s="104"/>
      <c r="T35" s="104"/>
      <c r="U35" s="104"/>
      <c r="V35" s="104"/>
      <c r="W35" s="104"/>
      <c r="X35" s="104"/>
      <c r="Y35" s="104"/>
    </row>
    <row r="36" spans="2:27" ht="17.5" x14ac:dyDescent="0.35">
      <c r="B36" s="67">
        <v>10</v>
      </c>
      <c r="C36" s="68" t="s">
        <v>857</v>
      </c>
      <c r="D36" s="38">
        <v>16.02</v>
      </c>
      <c r="E36" s="74">
        <f t="shared" si="0"/>
        <v>0.62421972534332082</v>
      </c>
      <c r="F36" s="70" t="s">
        <v>858</v>
      </c>
      <c r="G36" s="21"/>
      <c r="H36" s="21"/>
      <c r="I36" s="21"/>
      <c r="J36" s="298"/>
      <c r="K36" s="111"/>
      <c r="L36" s="36"/>
      <c r="M36" s="36"/>
      <c r="N36" s="120"/>
      <c r="O36" s="121"/>
      <c r="P36" s="111"/>
      <c r="Q36" s="119"/>
      <c r="R36" s="113"/>
      <c r="S36" s="104"/>
      <c r="T36" s="104"/>
      <c r="U36" s="104"/>
      <c r="V36" s="104"/>
      <c r="W36" s="104"/>
      <c r="X36" s="104"/>
      <c r="Y36" s="104"/>
    </row>
    <row r="37" spans="2:27" ht="17.5" x14ac:dyDescent="0.35">
      <c r="B37" s="67">
        <v>10</v>
      </c>
      <c r="C37" s="68" t="s">
        <v>859</v>
      </c>
      <c r="D37" s="38">
        <v>157.1</v>
      </c>
      <c r="E37" s="69">
        <f t="shared" si="0"/>
        <v>6.3653723742838952E-2</v>
      </c>
      <c r="F37" s="70" t="s">
        <v>860</v>
      </c>
      <c r="G37" s="21"/>
      <c r="H37" s="21"/>
      <c r="I37" s="21"/>
      <c r="J37" s="115"/>
      <c r="K37" s="111"/>
      <c r="L37" s="111"/>
      <c r="M37" s="36"/>
      <c r="N37" s="120"/>
      <c r="O37" s="121"/>
      <c r="P37" s="111"/>
      <c r="Q37" s="119"/>
      <c r="R37" s="113"/>
      <c r="S37" s="104"/>
      <c r="T37" s="104"/>
      <c r="U37" s="104"/>
      <c r="V37" s="104"/>
      <c r="W37" s="104"/>
      <c r="X37" s="104"/>
      <c r="Y37" s="104"/>
    </row>
    <row r="38" spans="2:27" ht="17.5" x14ac:dyDescent="0.35">
      <c r="B38" s="67">
        <v>10</v>
      </c>
      <c r="C38" s="68" t="s">
        <v>415</v>
      </c>
      <c r="D38" s="229">
        <v>145</v>
      </c>
      <c r="E38" s="84">
        <f>B38*D38</f>
        <v>1450</v>
      </c>
      <c r="F38" s="70" t="s">
        <v>967</v>
      </c>
      <c r="G38" s="21"/>
      <c r="H38" s="21"/>
      <c r="I38" s="21"/>
      <c r="J38" s="114"/>
      <c r="K38" s="111"/>
      <c r="L38" s="298"/>
      <c r="M38" s="36"/>
      <c r="N38" s="120"/>
      <c r="O38" s="125"/>
      <c r="P38" s="111"/>
      <c r="Q38" s="119"/>
      <c r="R38" s="113"/>
      <c r="S38" s="104"/>
      <c r="T38" s="104"/>
      <c r="U38" s="104"/>
      <c r="V38" s="104"/>
      <c r="W38" s="104"/>
      <c r="X38" s="104"/>
      <c r="Y38" s="104"/>
    </row>
    <row r="39" spans="2:27" x14ac:dyDescent="0.35">
      <c r="B39" s="67">
        <v>10</v>
      </c>
      <c r="C39" s="68" t="s">
        <v>416</v>
      </c>
      <c r="D39" s="38">
        <v>1.3560000000000001</v>
      </c>
      <c r="E39" s="75">
        <f t="shared" si="0"/>
        <v>7.3746312684365778</v>
      </c>
      <c r="F39" s="70" t="s">
        <v>21</v>
      </c>
      <c r="G39" s="21"/>
      <c r="H39" s="21"/>
      <c r="I39" s="21"/>
      <c r="J39" s="114"/>
      <c r="K39" s="111"/>
      <c r="L39" s="298"/>
      <c r="M39" s="111"/>
      <c r="N39" s="120"/>
      <c r="O39" s="123"/>
      <c r="P39" s="111"/>
      <c r="Q39" s="119"/>
      <c r="R39" s="113"/>
      <c r="S39" s="104"/>
      <c r="T39" s="104"/>
      <c r="U39" s="104"/>
      <c r="V39" s="104"/>
      <c r="W39" s="104"/>
      <c r="X39" s="104"/>
      <c r="Y39" s="104"/>
    </row>
    <row r="40" spans="2:27" x14ac:dyDescent="0.35">
      <c r="B40" s="67">
        <v>10</v>
      </c>
      <c r="C40" s="68" t="s">
        <v>416</v>
      </c>
      <c r="D40" s="38">
        <v>1055</v>
      </c>
      <c r="E40" s="69">
        <f t="shared" si="0"/>
        <v>9.4786729857819912E-3</v>
      </c>
      <c r="F40" s="70" t="s">
        <v>20</v>
      </c>
      <c r="G40" s="21"/>
      <c r="H40" s="21"/>
      <c r="I40" s="381"/>
      <c r="J40" s="126"/>
      <c r="K40" s="111"/>
      <c r="L40" s="111"/>
      <c r="M40" s="111"/>
      <c r="N40" s="120"/>
      <c r="O40" s="125"/>
      <c r="P40" s="111"/>
      <c r="Q40" s="119"/>
      <c r="R40" s="125"/>
      <c r="S40" s="104"/>
      <c r="T40" s="104"/>
      <c r="U40" s="104"/>
      <c r="V40" s="104"/>
      <c r="W40" s="104"/>
      <c r="X40" s="104"/>
      <c r="Y40" s="104"/>
    </row>
    <row r="41" spans="2:27" x14ac:dyDescent="0.35">
      <c r="B41" s="67">
        <v>10</v>
      </c>
      <c r="C41" s="68" t="s">
        <v>611</v>
      </c>
      <c r="D41" s="38">
        <v>1.3560000000000001</v>
      </c>
      <c r="E41" s="69">
        <f t="shared" si="0"/>
        <v>7.3746312684365778</v>
      </c>
      <c r="F41" s="70" t="s">
        <v>506</v>
      </c>
      <c r="G41" s="21"/>
      <c r="H41" s="21"/>
      <c r="I41" s="21"/>
      <c r="J41" s="114"/>
      <c r="K41" s="111"/>
      <c r="L41" s="298"/>
      <c r="M41" s="111"/>
      <c r="N41" s="126"/>
      <c r="O41" s="123"/>
      <c r="P41" s="111"/>
      <c r="Q41" s="119"/>
      <c r="R41" s="113"/>
      <c r="S41" s="104"/>
      <c r="T41" s="104"/>
      <c r="U41" s="104"/>
      <c r="V41" s="104"/>
      <c r="W41" s="104"/>
      <c r="X41" s="104"/>
      <c r="Y41" s="104"/>
    </row>
    <row r="42" spans="2:27" x14ac:dyDescent="0.35">
      <c r="B42" s="67">
        <v>10</v>
      </c>
      <c r="C42" s="68" t="s">
        <v>613</v>
      </c>
      <c r="D42" s="38">
        <v>1055</v>
      </c>
      <c r="E42" s="69">
        <f t="shared" si="0"/>
        <v>9.4786729857819912E-3</v>
      </c>
      <c r="F42" s="70" t="s">
        <v>465</v>
      </c>
      <c r="G42" s="21"/>
      <c r="H42" s="21"/>
      <c r="I42" s="21"/>
      <c r="J42" s="299"/>
      <c r="K42" s="111"/>
      <c r="L42" s="298"/>
      <c r="M42" s="111"/>
      <c r="N42" s="120"/>
      <c r="O42" s="113"/>
      <c r="P42" s="115"/>
      <c r="Q42" s="119"/>
      <c r="R42" s="121"/>
      <c r="S42" s="104"/>
      <c r="T42" s="104"/>
      <c r="U42" s="104"/>
      <c r="V42" s="104"/>
      <c r="W42" s="104"/>
      <c r="X42" s="104"/>
      <c r="Y42" s="104"/>
    </row>
    <row r="43" spans="2:27" x14ac:dyDescent="0.35">
      <c r="B43" s="67">
        <v>10</v>
      </c>
      <c r="C43" s="68" t="s">
        <v>524</v>
      </c>
      <c r="D43" s="38">
        <v>0.4536</v>
      </c>
      <c r="E43" s="72">
        <f t="shared" si="0"/>
        <v>22.045855379188712</v>
      </c>
      <c r="F43" s="70" t="s">
        <v>461</v>
      </c>
      <c r="G43" s="21"/>
      <c r="H43" s="36"/>
      <c r="I43" s="36"/>
      <c r="J43" s="114"/>
      <c r="K43" s="111"/>
      <c r="L43" s="298"/>
      <c r="M43" s="111"/>
      <c r="N43" s="120"/>
      <c r="O43" s="121"/>
      <c r="P43" s="111"/>
      <c r="Q43" s="119"/>
      <c r="R43" s="121"/>
      <c r="S43" s="104"/>
      <c r="T43" s="104"/>
      <c r="U43" s="104"/>
      <c r="V43" s="104"/>
      <c r="W43" s="104"/>
      <c r="X43" s="104"/>
      <c r="Y43" s="104"/>
    </row>
    <row r="44" spans="2:27" ht="17.5" x14ac:dyDescent="0.35">
      <c r="B44" s="67">
        <v>10</v>
      </c>
      <c r="C44" s="68" t="s">
        <v>861</v>
      </c>
      <c r="D44" s="38">
        <v>2.8320000000000001E-2</v>
      </c>
      <c r="E44" s="72">
        <f t="shared" si="0"/>
        <v>353.10734463276833</v>
      </c>
      <c r="F44" s="70" t="s">
        <v>862</v>
      </c>
      <c r="G44" s="21"/>
      <c r="H44" s="36"/>
      <c r="I44" s="41"/>
      <c r="J44" s="41"/>
      <c r="K44" s="111"/>
      <c r="L44" s="298"/>
      <c r="M44" s="111"/>
      <c r="N44" s="126"/>
      <c r="O44" s="121"/>
      <c r="P44" s="111"/>
      <c r="Q44" s="111"/>
      <c r="R44" s="111"/>
      <c r="S44" s="104"/>
      <c r="T44" s="104"/>
      <c r="U44" s="104"/>
      <c r="V44" s="104"/>
      <c r="W44" s="104"/>
      <c r="X44" s="104"/>
      <c r="Y44" s="104"/>
    </row>
    <row r="45" spans="2:27" x14ac:dyDescent="0.35">
      <c r="B45" s="67">
        <v>10</v>
      </c>
      <c r="C45" s="68" t="s">
        <v>525</v>
      </c>
      <c r="D45" s="38">
        <v>4.1870000000000003</v>
      </c>
      <c r="E45" s="69">
        <f t="shared" si="0"/>
        <v>2.3883448770002387</v>
      </c>
      <c r="F45" s="70" t="s">
        <v>407</v>
      </c>
      <c r="G45" s="21"/>
      <c r="H45" s="36"/>
      <c r="I45" s="36"/>
      <c r="J45" s="114"/>
      <c r="K45" s="111"/>
      <c r="L45" s="111"/>
      <c r="M45" s="111"/>
      <c r="N45" s="111"/>
      <c r="O45" s="111"/>
      <c r="P45" s="111"/>
      <c r="Q45" s="111"/>
      <c r="R45" s="111"/>
      <c r="S45" s="104"/>
      <c r="T45" s="104"/>
      <c r="U45" s="104"/>
      <c r="V45" s="104"/>
      <c r="W45" s="104"/>
      <c r="X45" s="104"/>
      <c r="Y45" s="104"/>
    </row>
    <row r="46" spans="2:27" x14ac:dyDescent="0.35">
      <c r="B46" s="67">
        <v>10</v>
      </c>
      <c r="C46" s="68" t="s">
        <v>76</v>
      </c>
      <c r="D46" s="38">
        <v>2.3260000000000001</v>
      </c>
      <c r="E46" s="69">
        <f t="shared" si="0"/>
        <v>4.2992261392949267</v>
      </c>
      <c r="F46" s="70" t="s">
        <v>73</v>
      </c>
      <c r="G46" s="21"/>
      <c r="H46" s="36"/>
      <c r="I46" s="36"/>
      <c r="J46" s="298"/>
      <c r="K46" s="111"/>
      <c r="L46" s="126"/>
      <c r="M46" s="111"/>
      <c r="N46" s="111"/>
      <c r="O46" s="111"/>
      <c r="P46" s="111"/>
      <c r="Q46" s="111"/>
      <c r="R46" s="111"/>
      <c r="S46" s="104"/>
      <c r="T46" s="104"/>
      <c r="U46" s="104"/>
      <c r="V46" s="104"/>
      <c r="W46" s="104"/>
      <c r="X46" s="104"/>
      <c r="Y46" s="104"/>
    </row>
    <row r="47" spans="2:27" x14ac:dyDescent="0.35">
      <c r="B47" s="67">
        <v>10</v>
      </c>
      <c r="C47" s="68" t="s">
        <v>525</v>
      </c>
      <c r="D47" s="38">
        <v>4.1870000000000003</v>
      </c>
      <c r="E47" s="69">
        <f t="shared" si="0"/>
        <v>2.3883448770002387</v>
      </c>
      <c r="F47" s="70" t="s">
        <v>407</v>
      </c>
      <c r="G47" s="21"/>
      <c r="H47" s="21"/>
      <c r="I47" s="21"/>
      <c r="J47" s="125"/>
      <c r="K47" s="111"/>
      <c r="L47" s="126"/>
      <c r="M47" s="115"/>
      <c r="N47" s="111"/>
      <c r="O47" s="111"/>
      <c r="P47" s="111"/>
      <c r="Q47" s="111"/>
      <c r="R47" s="111"/>
      <c r="S47" s="104"/>
      <c r="T47" s="104"/>
      <c r="U47" s="104"/>
      <c r="V47" s="104"/>
      <c r="W47" s="104"/>
      <c r="X47" s="104"/>
      <c r="Y47" s="104"/>
    </row>
    <row r="48" spans="2:27" ht="17.5" x14ac:dyDescent="0.35">
      <c r="B48" s="67">
        <v>10</v>
      </c>
      <c r="C48" s="68" t="s">
        <v>863</v>
      </c>
      <c r="D48" s="38">
        <v>6.2420000000000003E-2</v>
      </c>
      <c r="E48" s="72">
        <f t="shared" si="0"/>
        <v>160.20506247997437</v>
      </c>
      <c r="F48" s="70" t="s">
        <v>864</v>
      </c>
      <c r="G48" s="21"/>
      <c r="H48" s="21"/>
      <c r="I48" s="21"/>
      <c r="J48" s="125"/>
      <c r="K48" s="111"/>
      <c r="L48" s="126"/>
      <c r="M48" s="111"/>
      <c r="N48" s="111"/>
      <c r="O48" s="111"/>
      <c r="P48" s="111"/>
      <c r="Q48" s="111"/>
      <c r="R48" s="111"/>
      <c r="S48" s="104"/>
      <c r="T48" s="104"/>
      <c r="U48" s="104"/>
      <c r="V48" s="104"/>
      <c r="W48" s="104"/>
      <c r="X48" s="104"/>
      <c r="Y48" s="104"/>
    </row>
    <row r="49" spans="2:25" x14ac:dyDescent="0.35">
      <c r="B49" s="67">
        <v>10</v>
      </c>
      <c r="C49" s="76" t="s">
        <v>465</v>
      </c>
      <c r="D49" s="41">
        <v>1.4148000000000001</v>
      </c>
      <c r="E49" s="72">
        <f t="shared" si="0"/>
        <v>7.0681368391292052</v>
      </c>
      <c r="F49" s="77" t="s">
        <v>19</v>
      </c>
      <c r="G49" s="21"/>
      <c r="H49" s="21"/>
      <c r="I49" s="21"/>
      <c r="J49" s="125"/>
      <c r="K49" s="111"/>
      <c r="L49" s="126"/>
      <c r="M49" s="111"/>
      <c r="N49" s="111"/>
      <c r="O49" s="111"/>
      <c r="P49" s="111"/>
      <c r="Q49" s="111"/>
      <c r="R49" s="111"/>
      <c r="S49" s="104"/>
      <c r="T49" s="104"/>
      <c r="U49" s="104"/>
      <c r="V49" s="104"/>
      <c r="W49" s="104"/>
      <c r="X49" s="104"/>
      <c r="Y49" s="104"/>
    </row>
    <row r="50" spans="2:25" x14ac:dyDescent="0.35">
      <c r="B50" s="67">
        <v>10</v>
      </c>
      <c r="C50" s="76" t="s">
        <v>506</v>
      </c>
      <c r="D50" s="41">
        <v>550</v>
      </c>
      <c r="E50" s="72">
        <f t="shared" si="0"/>
        <v>1.8181818181818181E-2</v>
      </c>
      <c r="F50" s="77" t="s">
        <v>19</v>
      </c>
      <c r="G50" s="21"/>
      <c r="H50" s="21"/>
      <c r="I50" s="21"/>
      <c r="J50" s="125"/>
      <c r="K50" s="111"/>
      <c r="L50" s="300"/>
      <c r="M50" s="111"/>
      <c r="N50" s="111"/>
      <c r="O50" s="120"/>
      <c r="P50" s="125"/>
      <c r="Q50" s="111"/>
      <c r="R50" s="111"/>
      <c r="S50" s="104"/>
      <c r="T50" s="104"/>
      <c r="U50" s="104"/>
      <c r="V50" s="104"/>
      <c r="W50" s="104"/>
      <c r="X50" s="104"/>
      <c r="Y50" s="104"/>
    </row>
    <row r="51" spans="2:25" ht="16" thickBot="1" x14ac:dyDescent="0.4">
      <c r="B51" s="78">
        <v>10</v>
      </c>
      <c r="C51" s="79" t="s">
        <v>611</v>
      </c>
      <c r="D51" s="80">
        <v>745.7</v>
      </c>
      <c r="E51" s="81">
        <f>B51/D51</f>
        <v>1.3410218586562959E-2</v>
      </c>
      <c r="F51" s="82" t="s">
        <v>19</v>
      </c>
      <c r="G51" s="21"/>
      <c r="H51" s="21"/>
      <c r="I51" s="21"/>
      <c r="J51" s="111"/>
      <c r="K51" s="111"/>
      <c r="L51" s="111"/>
      <c r="M51" s="111"/>
      <c r="N51" s="111"/>
      <c r="O51" s="120"/>
      <c r="P51" s="125"/>
      <c r="Q51" s="111"/>
      <c r="R51" s="111"/>
      <c r="S51" s="104"/>
      <c r="T51" s="104"/>
      <c r="U51" s="104"/>
      <c r="V51" s="104"/>
      <c r="W51" s="104"/>
      <c r="X51" s="104"/>
      <c r="Y51" s="104"/>
    </row>
    <row r="52" spans="2:25" x14ac:dyDescent="0.35">
      <c r="G52" s="21"/>
      <c r="H52" s="21"/>
      <c r="I52" s="21"/>
      <c r="J52" s="111"/>
      <c r="K52" s="111"/>
      <c r="L52" s="126"/>
      <c r="M52" s="126"/>
      <c r="N52" s="127"/>
      <c r="O52" s="113"/>
      <c r="P52" s="125"/>
      <c r="Q52" s="111"/>
      <c r="R52" s="111"/>
      <c r="S52" s="104"/>
      <c r="T52" s="104"/>
      <c r="U52" s="104"/>
      <c r="V52" s="104"/>
      <c r="W52" s="104"/>
      <c r="X52" s="104"/>
      <c r="Y52" s="104"/>
    </row>
    <row r="53" spans="2:25" ht="18" x14ac:dyDescent="0.4">
      <c r="B53" s="44" t="s">
        <v>519</v>
      </c>
      <c r="C53" s="25"/>
      <c r="G53" s="21"/>
      <c r="H53" s="21"/>
      <c r="I53" s="21"/>
      <c r="J53" s="111"/>
      <c r="K53" s="111"/>
      <c r="L53" s="111"/>
      <c r="M53" s="111"/>
      <c r="N53" s="111"/>
      <c r="O53" s="111"/>
      <c r="P53" s="111"/>
      <c r="Q53" s="111"/>
      <c r="R53" s="111"/>
      <c r="S53" s="104"/>
      <c r="T53" s="104"/>
      <c r="U53" s="104"/>
      <c r="V53" s="104"/>
      <c r="W53" s="104"/>
      <c r="X53" s="104"/>
      <c r="Y53" s="104"/>
    </row>
    <row r="54" spans="2:25" ht="16" thickBot="1" x14ac:dyDescent="0.4">
      <c r="B54" s="25"/>
      <c r="C54" s="25"/>
      <c r="D54" s="25"/>
      <c r="F54" s="41"/>
      <c r="G54" s="21"/>
      <c r="H54" s="21"/>
      <c r="I54" s="21"/>
      <c r="J54" s="111"/>
      <c r="K54" s="111"/>
      <c r="L54" s="111"/>
      <c r="M54" s="111"/>
      <c r="N54" s="111"/>
      <c r="O54" s="111"/>
      <c r="P54" s="111"/>
      <c r="Q54" s="111"/>
      <c r="R54" s="111"/>
      <c r="S54" s="104"/>
      <c r="T54" s="104"/>
      <c r="U54" s="104"/>
      <c r="V54" s="104"/>
      <c r="W54" s="104"/>
      <c r="X54" s="104"/>
      <c r="Y54" s="104"/>
    </row>
    <row r="55" spans="2:25" ht="16" thickBot="1" x14ac:dyDescent="0.4">
      <c r="B55" s="9" t="s">
        <v>547</v>
      </c>
      <c r="C55" s="8" t="s">
        <v>517</v>
      </c>
      <c r="D55" s="6" t="s">
        <v>413</v>
      </c>
      <c r="E55" s="8" t="s">
        <v>518</v>
      </c>
      <c r="F55" s="7" t="s">
        <v>517</v>
      </c>
      <c r="G55" s="21"/>
      <c r="H55" s="21"/>
      <c r="I55" s="21"/>
      <c r="J55" s="111"/>
      <c r="K55" s="111"/>
      <c r="L55" s="111"/>
      <c r="M55" s="111"/>
      <c r="N55" s="111"/>
      <c r="O55" s="111"/>
      <c r="P55" s="111"/>
      <c r="Q55" s="111"/>
      <c r="R55" s="111"/>
      <c r="S55" s="104"/>
      <c r="T55" s="104"/>
      <c r="U55" s="104"/>
      <c r="V55" s="104"/>
      <c r="W55" s="104"/>
      <c r="X55" s="104"/>
      <c r="Y55" s="104"/>
    </row>
    <row r="56" spans="2:25" x14ac:dyDescent="0.35">
      <c r="B56" s="62">
        <v>10</v>
      </c>
      <c r="C56" s="63" t="s">
        <v>23</v>
      </c>
      <c r="D56" s="64">
        <v>0.30480000000000002</v>
      </c>
      <c r="E56" s="65">
        <f>D56*B56</f>
        <v>3.048</v>
      </c>
      <c r="F56" s="66" t="s">
        <v>24</v>
      </c>
      <c r="G56" s="21"/>
      <c r="H56" s="21"/>
      <c r="I56" s="21"/>
      <c r="J56" s="111"/>
      <c r="K56" s="111"/>
      <c r="L56" s="111"/>
      <c r="M56" s="111"/>
      <c r="N56" s="111"/>
      <c r="O56" s="111"/>
      <c r="P56" s="111"/>
      <c r="Q56" s="111"/>
      <c r="R56" s="111"/>
      <c r="S56" s="104"/>
      <c r="T56" s="104"/>
      <c r="U56" s="104"/>
      <c r="V56" s="104"/>
      <c r="W56" s="104"/>
      <c r="X56" s="104"/>
      <c r="Y56" s="104"/>
    </row>
    <row r="57" spans="2:25" x14ac:dyDescent="0.35">
      <c r="B57" s="67">
        <v>10</v>
      </c>
      <c r="C57" s="68" t="s">
        <v>520</v>
      </c>
      <c r="D57" s="38">
        <v>0.4536</v>
      </c>
      <c r="E57" s="72">
        <f>D57*B57</f>
        <v>4.5359999999999996</v>
      </c>
      <c r="F57" s="70" t="s">
        <v>443</v>
      </c>
      <c r="G57" s="21"/>
      <c r="H57" s="21"/>
      <c r="I57" s="21"/>
      <c r="J57" s="111"/>
      <c r="K57" s="111"/>
      <c r="L57" s="111"/>
      <c r="M57" s="111"/>
      <c r="N57" s="111"/>
      <c r="O57" s="111"/>
      <c r="P57" s="111"/>
      <c r="Q57" s="111"/>
      <c r="R57" s="111"/>
      <c r="S57" s="104"/>
      <c r="T57" s="104"/>
      <c r="U57" s="104"/>
      <c r="V57" s="104"/>
      <c r="W57" s="104"/>
      <c r="X57" s="104"/>
      <c r="Y57" s="104"/>
    </row>
    <row r="58" spans="2:25" x14ac:dyDescent="0.35">
      <c r="B58" s="67">
        <v>10</v>
      </c>
      <c r="C58" s="68" t="s">
        <v>436</v>
      </c>
      <c r="D58" s="71" t="s">
        <v>526</v>
      </c>
      <c r="E58" s="72">
        <f>B58</f>
        <v>10</v>
      </c>
      <c r="F58" s="70" t="s">
        <v>521</v>
      </c>
      <c r="G58" s="21"/>
      <c r="H58" s="21"/>
      <c r="I58" s="21"/>
      <c r="J58" s="111"/>
      <c r="K58" s="111"/>
      <c r="L58" s="111"/>
      <c r="M58" s="111"/>
      <c r="N58" s="111"/>
      <c r="O58" s="111"/>
      <c r="P58" s="111"/>
      <c r="Q58" s="111"/>
      <c r="R58" s="111"/>
      <c r="S58" s="104"/>
      <c r="T58" s="104"/>
      <c r="U58" s="104"/>
      <c r="V58" s="104"/>
      <c r="W58" s="104"/>
      <c r="X58" s="104"/>
      <c r="Y58" s="104"/>
    </row>
    <row r="59" spans="2:25" ht="17.5" x14ac:dyDescent="0.35">
      <c r="B59" s="67">
        <v>10</v>
      </c>
      <c r="C59" s="68" t="s">
        <v>851</v>
      </c>
      <c r="D59" s="73">
        <v>9.2899999999999996E-2</v>
      </c>
      <c r="E59" s="69">
        <f>D59*B59</f>
        <v>0.92899999999999994</v>
      </c>
      <c r="F59" s="70" t="s">
        <v>850</v>
      </c>
      <c r="G59" s="21"/>
      <c r="H59" s="21"/>
      <c r="I59" s="21"/>
      <c r="J59" s="111"/>
      <c r="K59" s="111"/>
      <c r="L59" s="126"/>
      <c r="M59" s="111"/>
      <c r="N59" s="111"/>
      <c r="O59" s="111"/>
      <c r="P59" s="111"/>
      <c r="Q59" s="111"/>
      <c r="R59" s="111"/>
      <c r="S59" s="104"/>
      <c r="T59" s="104"/>
      <c r="U59" s="104"/>
      <c r="V59" s="104"/>
      <c r="W59" s="104"/>
      <c r="X59" s="104"/>
      <c r="Y59" s="104"/>
    </row>
    <row r="60" spans="2:25" ht="17.5" x14ac:dyDescent="0.35">
      <c r="B60" s="67">
        <v>10</v>
      </c>
      <c r="C60" s="68" t="s">
        <v>853</v>
      </c>
      <c r="D60" s="38">
        <v>2.8320000000000001E-2</v>
      </c>
      <c r="E60" s="69">
        <f>D60*B60</f>
        <v>0.28320000000000001</v>
      </c>
      <c r="F60" s="70" t="s">
        <v>852</v>
      </c>
      <c r="G60" s="21"/>
      <c r="H60" s="21"/>
      <c r="I60" s="21"/>
      <c r="J60" s="113"/>
      <c r="K60" s="111"/>
      <c r="L60" s="126"/>
      <c r="M60" s="111"/>
      <c r="N60" s="111"/>
      <c r="O60" s="111"/>
      <c r="P60" s="111"/>
      <c r="Q60" s="111"/>
      <c r="R60" s="111"/>
      <c r="S60" s="104"/>
      <c r="T60" s="104"/>
      <c r="U60" s="104"/>
      <c r="V60" s="104"/>
      <c r="W60" s="104"/>
      <c r="X60" s="104"/>
      <c r="Y60" s="104"/>
    </row>
    <row r="61" spans="2:25" x14ac:dyDescent="0.35">
      <c r="B61" s="67">
        <v>10</v>
      </c>
      <c r="C61" s="68" t="s">
        <v>491</v>
      </c>
      <c r="D61" s="38">
        <v>0.30480000000000002</v>
      </c>
      <c r="E61" s="69">
        <f>D61*B61</f>
        <v>3.048</v>
      </c>
      <c r="F61" s="70" t="s">
        <v>417</v>
      </c>
      <c r="G61" s="21"/>
      <c r="H61" s="21"/>
      <c r="I61" s="21"/>
      <c r="J61" s="36"/>
      <c r="K61" s="36"/>
      <c r="L61" s="36"/>
      <c r="M61" s="36"/>
      <c r="N61" s="36"/>
      <c r="O61" s="36"/>
      <c r="P61" s="36"/>
      <c r="Q61" s="36"/>
      <c r="R61" s="36"/>
    </row>
    <row r="62" spans="2:25" ht="17.5" x14ac:dyDescent="0.35">
      <c r="B62" s="67">
        <v>10</v>
      </c>
      <c r="C62" s="68" t="s">
        <v>855</v>
      </c>
      <c r="D62" s="38">
        <v>0.30480000000000002</v>
      </c>
      <c r="E62" s="69">
        <f>D62*B62</f>
        <v>3.048</v>
      </c>
      <c r="F62" s="70" t="s">
        <v>854</v>
      </c>
      <c r="G62" s="21"/>
      <c r="H62" s="21"/>
      <c r="I62" s="21"/>
      <c r="J62" s="21"/>
      <c r="K62" s="21"/>
      <c r="L62" s="21"/>
      <c r="M62" s="21"/>
      <c r="N62" s="21"/>
      <c r="O62" s="21"/>
      <c r="P62" s="21"/>
      <c r="Q62" s="21"/>
      <c r="R62" s="21"/>
    </row>
    <row r="63" spans="2:25" ht="17.5" x14ac:dyDescent="0.35">
      <c r="B63" s="67">
        <v>10</v>
      </c>
      <c r="C63" s="68" t="s">
        <v>856</v>
      </c>
      <c r="D63" s="71" t="s">
        <v>526</v>
      </c>
      <c r="E63" s="72">
        <f>B63</f>
        <v>10</v>
      </c>
      <c r="F63" s="70" t="s">
        <v>522</v>
      </c>
      <c r="G63" s="21"/>
      <c r="H63" s="21"/>
      <c r="I63" s="21"/>
      <c r="J63" s="21"/>
      <c r="K63" s="21"/>
      <c r="L63" s="21"/>
      <c r="M63" s="21"/>
      <c r="N63" s="21"/>
      <c r="O63" s="21"/>
      <c r="P63" s="21"/>
      <c r="Q63" s="21"/>
      <c r="R63" s="21"/>
    </row>
    <row r="64" spans="2:25" x14ac:dyDescent="0.35">
      <c r="B64" s="67">
        <v>10</v>
      </c>
      <c r="C64" s="68" t="s">
        <v>26</v>
      </c>
      <c r="D64" s="38">
        <v>4.4480000000000004</v>
      </c>
      <c r="E64" s="69">
        <f t="shared" ref="E64:E80" si="1">D64*B64</f>
        <v>44.480000000000004</v>
      </c>
      <c r="F64" s="70" t="s">
        <v>27</v>
      </c>
      <c r="G64" s="21"/>
      <c r="H64" s="21"/>
      <c r="I64" s="21"/>
      <c r="J64" s="21"/>
      <c r="K64" s="21"/>
      <c r="L64" s="21"/>
      <c r="M64" s="21"/>
      <c r="N64" s="21"/>
      <c r="O64" s="21"/>
      <c r="P64" s="21"/>
      <c r="Q64" s="21"/>
      <c r="R64" s="21"/>
    </row>
    <row r="65" spans="2:18" ht="17.5" x14ac:dyDescent="0.35">
      <c r="B65" s="83">
        <v>10</v>
      </c>
      <c r="C65" s="68" t="s">
        <v>858</v>
      </c>
      <c r="D65" s="38">
        <v>16.02</v>
      </c>
      <c r="E65" s="69">
        <f t="shared" si="1"/>
        <v>160.19999999999999</v>
      </c>
      <c r="F65" s="70" t="s">
        <v>857</v>
      </c>
      <c r="G65" s="21"/>
      <c r="H65" s="21"/>
      <c r="I65" s="21"/>
      <c r="J65" s="21"/>
      <c r="K65" s="21"/>
      <c r="L65" s="21"/>
      <c r="M65" s="21"/>
      <c r="N65" s="21"/>
      <c r="O65" s="21"/>
      <c r="P65" s="21"/>
      <c r="Q65" s="21"/>
      <c r="R65" s="21"/>
    </row>
    <row r="66" spans="2:18" ht="17.5" x14ac:dyDescent="0.35">
      <c r="B66" s="67">
        <v>10</v>
      </c>
      <c r="C66" s="68" t="s">
        <v>860</v>
      </c>
      <c r="D66" s="38">
        <v>157.1</v>
      </c>
      <c r="E66" s="84">
        <f t="shared" si="1"/>
        <v>1571</v>
      </c>
      <c r="F66" s="70" t="s">
        <v>859</v>
      </c>
      <c r="G66" s="21"/>
      <c r="H66" s="21"/>
      <c r="I66" s="21"/>
      <c r="J66" s="21"/>
      <c r="K66" s="21"/>
      <c r="L66" s="21"/>
      <c r="M66" s="21"/>
      <c r="N66" s="21"/>
      <c r="O66" s="21"/>
      <c r="P66" s="21"/>
      <c r="Q66" s="21"/>
      <c r="R66" s="21"/>
    </row>
    <row r="67" spans="2:18" ht="17.5" x14ac:dyDescent="0.35">
      <c r="B67" s="67">
        <v>10</v>
      </c>
      <c r="C67" s="68" t="s">
        <v>967</v>
      </c>
      <c r="D67" s="38">
        <v>145</v>
      </c>
      <c r="E67" s="84">
        <f>B67*D67</f>
        <v>1450</v>
      </c>
      <c r="F67" s="70" t="s">
        <v>415</v>
      </c>
      <c r="G67" s="21"/>
      <c r="H67" s="21"/>
      <c r="I67" s="38"/>
      <c r="J67" s="21"/>
      <c r="K67" s="21"/>
      <c r="L67" s="21"/>
      <c r="M67" s="21"/>
      <c r="N67" s="21"/>
      <c r="O67" s="21"/>
      <c r="P67" s="21"/>
      <c r="Q67" s="21"/>
      <c r="R67" s="21"/>
    </row>
    <row r="68" spans="2:18" x14ac:dyDescent="0.35">
      <c r="B68" s="67">
        <v>10</v>
      </c>
      <c r="C68" s="68" t="s">
        <v>21</v>
      </c>
      <c r="D68" s="38">
        <v>1.3560000000000001</v>
      </c>
      <c r="E68" s="69">
        <f t="shared" si="1"/>
        <v>13.56</v>
      </c>
      <c r="F68" s="70" t="s">
        <v>416</v>
      </c>
      <c r="G68" s="21"/>
      <c r="H68" s="21"/>
      <c r="I68" s="21"/>
      <c r="J68" s="21"/>
      <c r="K68" s="21"/>
      <c r="L68" s="21"/>
      <c r="M68" s="21"/>
      <c r="N68" s="21"/>
      <c r="O68" s="21"/>
      <c r="P68" s="21"/>
      <c r="Q68" s="21"/>
      <c r="R68" s="21"/>
    </row>
    <row r="69" spans="2:18" x14ac:dyDescent="0.35">
      <c r="B69" s="67">
        <v>10</v>
      </c>
      <c r="C69" s="68" t="s">
        <v>20</v>
      </c>
      <c r="D69" s="38">
        <v>1055</v>
      </c>
      <c r="E69" s="84">
        <f t="shared" si="1"/>
        <v>10550</v>
      </c>
      <c r="F69" s="70" t="s">
        <v>416</v>
      </c>
      <c r="G69" s="21"/>
      <c r="H69" s="21"/>
      <c r="I69" s="21"/>
      <c r="J69" s="21"/>
      <c r="K69" s="21"/>
      <c r="L69" s="21"/>
      <c r="M69" s="21"/>
      <c r="N69" s="21"/>
      <c r="O69" s="21"/>
      <c r="P69" s="21"/>
      <c r="Q69" s="21"/>
      <c r="R69" s="21"/>
    </row>
    <row r="70" spans="2:18" x14ac:dyDescent="0.35">
      <c r="B70" s="67">
        <v>10</v>
      </c>
      <c r="C70" s="68" t="s">
        <v>506</v>
      </c>
      <c r="D70" s="38">
        <v>1.3560000000000001</v>
      </c>
      <c r="E70" s="69">
        <f t="shared" si="1"/>
        <v>13.56</v>
      </c>
      <c r="F70" s="70" t="s">
        <v>18</v>
      </c>
      <c r="G70" s="21"/>
      <c r="H70" s="21"/>
      <c r="I70" s="21"/>
      <c r="J70" s="21"/>
      <c r="K70" s="21"/>
      <c r="L70" s="21"/>
      <c r="M70" s="21"/>
      <c r="N70" s="21"/>
      <c r="O70" s="21"/>
      <c r="P70" s="21"/>
      <c r="Q70" s="21"/>
      <c r="R70" s="21"/>
    </row>
    <row r="71" spans="2:18" x14ac:dyDescent="0.35">
      <c r="B71" s="67">
        <v>10</v>
      </c>
      <c r="C71" s="68" t="s">
        <v>465</v>
      </c>
      <c r="D71" s="38">
        <v>1055</v>
      </c>
      <c r="E71" s="84">
        <f t="shared" si="1"/>
        <v>10550</v>
      </c>
      <c r="F71" s="70" t="s">
        <v>523</v>
      </c>
      <c r="G71" s="21"/>
      <c r="H71" s="21"/>
      <c r="I71" s="21"/>
      <c r="J71" s="21"/>
      <c r="K71" s="21"/>
      <c r="L71" s="21"/>
      <c r="M71" s="21"/>
      <c r="N71" s="21"/>
      <c r="O71" s="21"/>
      <c r="P71" s="21"/>
      <c r="Q71" s="21"/>
      <c r="R71" s="21"/>
    </row>
    <row r="72" spans="2:18" x14ac:dyDescent="0.35">
      <c r="B72" s="67">
        <v>10</v>
      </c>
      <c r="C72" s="68" t="s">
        <v>461</v>
      </c>
      <c r="D72" s="38">
        <v>0.4536</v>
      </c>
      <c r="E72" s="69">
        <f t="shared" si="1"/>
        <v>4.5359999999999996</v>
      </c>
      <c r="F72" s="70" t="s">
        <v>524</v>
      </c>
      <c r="G72" s="21"/>
      <c r="H72" s="21"/>
      <c r="I72" s="21"/>
      <c r="J72" s="21"/>
      <c r="K72" s="21"/>
      <c r="L72" s="21"/>
      <c r="M72" s="21"/>
      <c r="N72" s="21"/>
      <c r="O72" s="21"/>
      <c r="P72" s="21"/>
      <c r="Q72" s="21"/>
      <c r="R72" s="21"/>
    </row>
    <row r="73" spans="2:18" ht="17.5" x14ac:dyDescent="0.35">
      <c r="B73" s="67">
        <v>10</v>
      </c>
      <c r="C73" s="68" t="s">
        <v>862</v>
      </c>
      <c r="D73" s="38">
        <v>2.8320000000000001E-2</v>
      </c>
      <c r="E73" s="69">
        <f t="shared" si="1"/>
        <v>0.28320000000000001</v>
      </c>
      <c r="F73" s="70" t="s">
        <v>861</v>
      </c>
      <c r="G73" s="21"/>
      <c r="H73" s="21"/>
      <c r="I73" s="21"/>
      <c r="J73" s="21"/>
      <c r="K73" s="21"/>
      <c r="L73" s="21"/>
      <c r="M73" s="21"/>
      <c r="N73" s="21"/>
      <c r="O73" s="21"/>
      <c r="P73" s="21"/>
      <c r="Q73" s="21"/>
      <c r="R73" s="21"/>
    </row>
    <row r="74" spans="2:18" x14ac:dyDescent="0.35">
      <c r="B74" s="67">
        <v>10</v>
      </c>
      <c r="C74" s="68" t="s">
        <v>407</v>
      </c>
      <c r="D74" s="38">
        <v>4.1870000000000003</v>
      </c>
      <c r="E74" s="75">
        <f t="shared" si="1"/>
        <v>41.870000000000005</v>
      </c>
      <c r="F74" s="70" t="s">
        <v>525</v>
      </c>
      <c r="G74" s="21"/>
      <c r="H74" s="21"/>
      <c r="I74" s="21"/>
      <c r="J74" s="21"/>
      <c r="K74" s="21"/>
      <c r="L74" s="21"/>
      <c r="M74" s="21"/>
      <c r="N74" s="21"/>
      <c r="O74" s="21"/>
      <c r="P74" s="21"/>
      <c r="Q74" s="21"/>
      <c r="R74" s="21"/>
    </row>
    <row r="75" spans="2:18" x14ac:dyDescent="0.35">
      <c r="B75" s="67">
        <v>10</v>
      </c>
      <c r="C75" s="68" t="s">
        <v>73</v>
      </c>
      <c r="D75" s="38">
        <v>2.3260000000000001</v>
      </c>
      <c r="E75" s="75">
        <f t="shared" si="1"/>
        <v>23.26</v>
      </c>
      <c r="F75" s="70" t="s">
        <v>76</v>
      </c>
      <c r="G75" s="21"/>
      <c r="H75" s="21"/>
      <c r="I75" s="21"/>
      <c r="J75" s="21"/>
      <c r="K75" s="21"/>
      <c r="L75" s="21"/>
      <c r="M75" s="21"/>
      <c r="N75" s="21"/>
      <c r="O75" s="21"/>
      <c r="P75" s="21"/>
      <c r="Q75" s="21"/>
      <c r="R75" s="21"/>
    </row>
    <row r="76" spans="2:18" x14ac:dyDescent="0.35">
      <c r="B76" s="67">
        <v>10</v>
      </c>
      <c r="C76" s="68" t="s">
        <v>407</v>
      </c>
      <c r="D76" s="38">
        <v>4.1870000000000003</v>
      </c>
      <c r="E76" s="75">
        <f t="shared" si="1"/>
        <v>41.870000000000005</v>
      </c>
      <c r="F76" s="70" t="s">
        <v>525</v>
      </c>
      <c r="G76" s="21"/>
      <c r="H76" s="21"/>
      <c r="I76" s="21"/>
      <c r="J76" s="21"/>
      <c r="K76" s="21"/>
      <c r="L76" s="21"/>
      <c r="M76" s="21"/>
      <c r="N76" s="21"/>
      <c r="O76" s="21"/>
      <c r="P76" s="21"/>
      <c r="Q76" s="21"/>
      <c r="R76" s="21"/>
    </row>
    <row r="77" spans="2:18" ht="17.5" x14ac:dyDescent="0.35">
      <c r="B77" s="67">
        <v>10</v>
      </c>
      <c r="C77" s="68" t="s">
        <v>864</v>
      </c>
      <c r="D77" s="38">
        <v>6.2420000000000003E-2</v>
      </c>
      <c r="E77" s="69">
        <f t="shared" si="1"/>
        <v>0.62420000000000009</v>
      </c>
      <c r="F77" s="70" t="s">
        <v>863</v>
      </c>
      <c r="G77" s="21"/>
      <c r="H77" s="21"/>
      <c r="I77" s="21"/>
      <c r="J77" s="21"/>
      <c r="K77" s="21"/>
      <c r="L77" s="21"/>
      <c r="M77" s="21"/>
      <c r="N77" s="21"/>
      <c r="O77" s="21"/>
      <c r="P77" s="21"/>
      <c r="Q77" s="21"/>
      <c r="R77" s="21"/>
    </row>
    <row r="78" spans="2:18" x14ac:dyDescent="0.35">
      <c r="B78" s="67">
        <v>10</v>
      </c>
      <c r="C78" s="76" t="s">
        <v>19</v>
      </c>
      <c r="D78" s="41">
        <v>1.4148000000000001</v>
      </c>
      <c r="E78" s="69">
        <f t="shared" si="1"/>
        <v>14.148</v>
      </c>
      <c r="F78" s="77" t="s">
        <v>465</v>
      </c>
      <c r="G78" s="21"/>
      <c r="H78" s="21"/>
      <c r="I78" s="21"/>
      <c r="J78" s="21"/>
      <c r="K78" s="21"/>
      <c r="L78" s="21"/>
      <c r="M78" s="21"/>
      <c r="N78" s="21"/>
      <c r="O78" s="21"/>
      <c r="P78" s="21"/>
      <c r="Q78" s="21"/>
      <c r="R78" s="21"/>
    </row>
    <row r="79" spans="2:18" x14ac:dyDescent="0.35">
      <c r="B79" s="67">
        <v>10</v>
      </c>
      <c r="C79" s="76" t="s">
        <v>19</v>
      </c>
      <c r="D79" s="41">
        <v>550</v>
      </c>
      <c r="E79" s="84">
        <f t="shared" si="1"/>
        <v>5500</v>
      </c>
      <c r="F79" s="77" t="s">
        <v>506</v>
      </c>
      <c r="G79" s="21"/>
      <c r="H79" s="21"/>
      <c r="I79" s="21"/>
      <c r="J79" s="21"/>
      <c r="K79" s="21"/>
      <c r="L79" s="21"/>
      <c r="M79" s="21"/>
      <c r="N79" s="21"/>
      <c r="O79" s="21"/>
      <c r="P79" s="21"/>
      <c r="Q79" s="21"/>
      <c r="R79" s="21"/>
    </row>
    <row r="80" spans="2:18" ht="16" thickBot="1" x14ac:dyDescent="0.4">
      <c r="B80" s="78">
        <v>10</v>
      </c>
      <c r="C80" s="79" t="s">
        <v>19</v>
      </c>
      <c r="D80" s="80">
        <v>746</v>
      </c>
      <c r="E80" s="85">
        <f t="shared" si="1"/>
        <v>7460</v>
      </c>
      <c r="F80" s="82" t="s">
        <v>611</v>
      </c>
      <c r="G80" s="21"/>
      <c r="H80" s="21"/>
      <c r="I80" s="21"/>
      <c r="J80" s="21"/>
      <c r="K80" s="21"/>
      <c r="L80" s="21"/>
      <c r="M80" s="21"/>
      <c r="N80" s="21"/>
      <c r="O80" s="21"/>
      <c r="P80" s="21"/>
      <c r="Q80" s="21"/>
      <c r="R80" s="21"/>
    </row>
    <row r="81" spans="2:18" x14ac:dyDescent="0.35">
      <c r="G81" s="21"/>
      <c r="H81" s="21"/>
      <c r="I81" s="21"/>
      <c r="J81" s="21"/>
      <c r="K81" s="21"/>
      <c r="L81" s="21"/>
      <c r="M81" s="21"/>
      <c r="N81" s="21"/>
      <c r="O81" s="21"/>
      <c r="P81" s="21"/>
      <c r="Q81" s="21"/>
      <c r="R81" s="21"/>
    </row>
    <row r="82" spans="2:18" ht="17.5" x14ac:dyDescent="0.35">
      <c r="E82" s="25" t="s">
        <v>865</v>
      </c>
      <c r="F82" s="41" t="s">
        <v>866</v>
      </c>
      <c r="G82" s="21"/>
      <c r="H82" s="21"/>
      <c r="I82" s="21"/>
      <c r="J82" s="21"/>
      <c r="K82" s="21"/>
      <c r="L82" s="21"/>
      <c r="M82" s="21"/>
      <c r="N82" s="21"/>
      <c r="O82" s="21"/>
      <c r="P82" s="21"/>
      <c r="Q82" s="21"/>
      <c r="R82" s="21"/>
    </row>
    <row r="83" spans="2:18" x14ac:dyDescent="0.35">
      <c r="H83" s="21"/>
      <c r="I83" s="21"/>
      <c r="J83" s="21"/>
      <c r="K83" s="21"/>
      <c r="L83" s="21"/>
      <c r="M83" s="21"/>
      <c r="N83" s="21"/>
      <c r="O83" s="21"/>
      <c r="P83" s="21"/>
      <c r="Q83" s="21"/>
      <c r="R83" s="21"/>
    </row>
    <row r="84" spans="2:18" x14ac:dyDescent="0.35">
      <c r="H84" s="21"/>
      <c r="I84" s="21"/>
      <c r="J84" s="21"/>
      <c r="K84" s="21"/>
      <c r="L84" s="21"/>
      <c r="M84" s="21"/>
      <c r="N84" s="21"/>
      <c r="O84" s="21"/>
      <c r="P84" s="21"/>
      <c r="Q84" s="21"/>
      <c r="R84" s="21"/>
    </row>
    <row r="85" spans="2:18" x14ac:dyDescent="0.35">
      <c r="H85" s="21"/>
      <c r="I85" s="21"/>
      <c r="J85" s="21"/>
      <c r="K85" s="21"/>
      <c r="L85" s="21"/>
      <c r="M85" s="21"/>
      <c r="N85" s="21"/>
      <c r="O85" s="21"/>
      <c r="P85" s="21"/>
      <c r="Q85" s="21"/>
      <c r="R85" s="21"/>
    </row>
    <row r="86" spans="2:18" x14ac:dyDescent="0.35">
      <c r="H86" s="21"/>
      <c r="I86" s="21"/>
      <c r="J86" s="21"/>
      <c r="K86" s="21"/>
      <c r="L86" s="21"/>
      <c r="M86" s="21"/>
      <c r="N86" s="21"/>
      <c r="O86" s="21"/>
      <c r="P86" s="21"/>
      <c r="Q86" s="21"/>
      <c r="R86" s="21"/>
    </row>
    <row r="87" spans="2:18" x14ac:dyDescent="0.35">
      <c r="H87" s="21"/>
      <c r="I87" s="21"/>
      <c r="J87" s="21"/>
      <c r="K87" s="21"/>
      <c r="L87" s="21"/>
      <c r="M87" s="21"/>
      <c r="N87" s="21"/>
      <c r="O87" s="21"/>
      <c r="P87" s="21"/>
      <c r="Q87" s="21"/>
      <c r="R87" s="21"/>
    </row>
    <row r="88" spans="2:18" x14ac:dyDescent="0.35">
      <c r="H88" s="21"/>
      <c r="I88" s="21"/>
      <c r="J88" s="21"/>
      <c r="K88" s="21"/>
      <c r="L88" s="21"/>
      <c r="M88" s="21"/>
      <c r="N88" s="21"/>
      <c r="O88" s="21"/>
      <c r="P88" s="21"/>
      <c r="Q88" s="21"/>
      <c r="R88" s="21"/>
    </row>
    <row r="89" spans="2:18" x14ac:dyDescent="0.35">
      <c r="H89" s="21"/>
      <c r="I89" s="21"/>
      <c r="J89" s="21"/>
      <c r="K89" s="21"/>
      <c r="L89" s="21"/>
      <c r="M89" s="21"/>
      <c r="N89" s="21"/>
      <c r="O89" s="21"/>
      <c r="P89" s="21"/>
      <c r="Q89" s="21"/>
      <c r="R89" s="21"/>
    </row>
    <row r="90" spans="2:18" x14ac:dyDescent="0.35">
      <c r="H90" s="21"/>
      <c r="I90" s="21"/>
      <c r="J90" s="21"/>
      <c r="K90" s="21"/>
      <c r="L90" s="21"/>
      <c r="M90" s="21"/>
      <c r="N90" s="21"/>
      <c r="O90" s="21"/>
      <c r="P90" s="21"/>
      <c r="Q90" s="21"/>
      <c r="R90" s="21"/>
    </row>
    <row r="91" spans="2:18" x14ac:dyDescent="0.35">
      <c r="H91" s="21"/>
      <c r="I91" s="21"/>
      <c r="J91" s="21"/>
      <c r="K91" s="21"/>
      <c r="L91" s="21"/>
      <c r="M91" s="21"/>
      <c r="N91" s="21"/>
      <c r="O91" s="21"/>
      <c r="P91" s="21"/>
      <c r="Q91" s="21"/>
      <c r="R91" s="21"/>
    </row>
    <row r="92" spans="2:18" x14ac:dyDescent="0.35">
      <c r="H92" s="21"/>
      <c r="I92" s="21"/>
      <c r="J92" s="21"/>
      <c r="K92" s="21"/>
      <c r="L92" s="21"/>
      <c r="M92" s="21"/>
      <c r="N92" s="21"/>
      <c r="O92" s="21"/>
      <c r="P92" s="21"/>
      <c r="Q92" s="21"/>
      <c r="R92" s="21"/>
    </row>
    <row r="93" spans="2:18" x14ac:dyDescent="0.35">
      <c r="H93" s="21"/>
      <c r="I93" s="21"/>
      <c r="J93" s="21"/>
      <c r="K93" s="21"/>
      <c r="L93" s="21"/>
      <c r="M93" s="21"/>
      <c r="N93" s="21"/>
      <c r="O93" s="21"/>
      <c r="P93" s="21"/>
      <c r="Q93" s="21"/>
      <c r="R93" s="21"/>
    </row>
    <row r="94" spans="2:18" x14ac:dyDescent="0.35">
      <c r="H94" s="21"/>
      <c r="I94" s="21"/>
      <c r="J94" s="21"/>
      <c r="K94" s="21"/>
      <c r="L94" s="21"/>
      <c r="M94" s="21"/>
      <c r="N94" s="21"/>
      <c r="O94" s="21"/>
      <c r="P94" s="21"/>
      <c r="Q94" s="21"/>
      <c r="R94" s="21"/>
    </row>
    <row r="95" spans="2:18" ht="18" x14ac:dyDescent="0.4">
      <c r="B95" s="44" t="s">
        <v>604</v>
      </c>
      <c r="D95" s="27"/>
      <c r="E95" s="27"/>
      <c r="F95" s="24"/>
      <c r="G95" s="24"/>
      <c r="H95" s="21"/>
      <c r="I95" s="21"/>
      <c r="J95" s="21"/>
      <c r="K95" s="21"/>
      <c r="L95" s="21"/>
      <c r="M95" s="21"/>
      <c r="N95" s="21"/>
      <c r="O95" s="21"/>
      <c r="P95" s="21"/>
      <c r="Q95" s="21"/>
      <c r="R95" s="21"/>
    </row>
    <row r="96" spans="2:18" x14ac:dyDescent="0.35">
      <c r="B96" s="86" t="s">
        <v>734</v>
      </c>
      <c r="C96" s="87" t="s">
        <v>733</v>
      </c>
      <c r="D96" s="27"/>
      <c r="E96" s="27"/>
      <c r="F96" s="24"/>
      <c r="G96" s="24"/>
      <c r="H96" s="21"/>
      <c r="I96" s="21"/>
      <c r="J96" s="21"/>
      <c r="K96" s="21"/>
      <c r="L96" s="21"/>
      <c r="M96" s="21"/>
      <c r="N96" s="21"/>
      <c r="O96" s="21"/>
      <c r="P96" s="21"/>
      <c r="Q96" s="21"/>
      <c r="R96" s="21"/>
    </row>
    <row r="97" spans="3:18" x14ac:dyDescent="0.35">
      <c r="C97" s="29"/>
      <c r="D97" s="27"/>
      <c r="E97" s="27"/>
      <c r="F97" s="24"/>
      <c r="G97" s="24"/>
      <c r="H97" s="21"/>
      <c r="I97" s="21"/>
      <c r="J97" s="21"/>
      <c r="K97" s="21"/>
      <c r="L97" s="21"/>
      <c r="M97" s="21"/>
      <c r="N97" s="21"/>
      <c r="O97" s="21"/>
      <c r="P97" s="21"/>
      <c r="Q97" s="21"/>
      <c r="R97" s="21"/>
    </row>
    <row r="98" spans="3:18" x14ac:dyDescent="0.35">
      <c r="C98" s="29"/>
      <c r="D98" s="27"/>
      <c r="E98" s="27"/>
      <c r="F98" s="24"/>
      <c r="G98" s="24"/>
      <c r="H98" s="21"/>
      <c r="I98" s="21"/>
      <c r="J98" s="21"/>
      <c r="K98" s="21"/>
      <c r="L98" s="21"/>
      <c r="M98" s="21"/>
      <c r="N98" s="21"/>
      <c r="O98" s="21"/>
      <c r="P98" s="21"/>
      <c r="Q98" s="21"/>
      <c r="R98" s="21"/>
    </row>
    <row r="99" spans="3:18" x14ac:dyDescent="0.35">
      <c r="C99" s="29"/>
      <c r="D99" s="27"/>
      <c r="E99" s="27"/>
      <c r="F99" s="24"/>
      <c r="G99" s="24"/>
      <c r="H99" s="21"/>
      <c r="I99" s="21"/>
      <c r="J99" s="21"/>
      <c r="K99" s="21"/>
      <c r="L99" s="21"/>
      <c r="M99" s="21"/>
      <c r="N99" s="21"/>
      <c r="O99" s="21"/>
      <c r="P99" s="21"/>
      <c r="Q99" s="21"/>
      <c r="R99" s="21"/>
    </row>
    <row r="100" spans="3:18" x14ac:dyDescent="0.35">
      <c r="C100" s="29"/>
      <c r="D100" s="27"/>
      <c r="E100" s="27"/>
      <c r="F100" s="24"/>
      <c r="G100" s="24"/>
      <c r="H100" s="21"/>
      <c r="I100" s="21"/>
      <c r="J100" s="21"/>
      <c r="K100" s="21"/>
      <c r="L100" s="21"/>
      <c r="M100" s="21"/>
      <c r="N100" s="21"/>
      <c r="O100" s="21"/>
      <c r="P100" s="21"/>
      <c r="Q100" s="21"/>
      <c r="R100" s="21"/>
    </row>
    <row r="101" spans="3:18" x14ac:dyDescent="0.35">
      <c r="C101" s="29"/>
      <c r="D101" s="27"/>
      <c r="E101" s="27"/>
      <c r="F101" s="24"/>
      <c r="G101" s="24"/>
      <c r="H101" s="21"/>
      <c r="I101" s="21"/>
      <c r="J101" s="21"/>
      <c r="K101" s="21"/>
      <c r="L101" s="21"/>
      <c r="M101" s="21"/>
      <c r="N101" s="21"/>
      <c r="O101" s="21"/>
      <c r="P101" s="21"/>
      <c r="Q101" s="21"/>
      <c r="R101" s="21"/>
    </row>
    <row r="102" spans="3:18" x14ac:dyDescent="0.35">
      <c r="C102" s="29"/>
      <c r="D102" s="27"/>
      <c r="E102" s="27"/>
      <c r="F102" s="24"/>
      <c r="G102" s="24"/>
      <c r="H102" s="21"/>
      <c r="I102" s="21"/>
      <c r="J102" s="21"/>
      <c r="K102" s="21"/>
      <c r="L102" s="21"/>
      <c r="M102" s="21"/>
      <c r="N102" s="21"/>
      <c r="O102" s="21"/>
      <c r="P102" s="21"/>
      <c r="Q102" s="21"/>
      <c r="R102" s="21"/>
    </row>
    <row r="103" spans="3:18" x14ac:dyDescent="0.35">
      <c r="C103" s="29"/>
      <c r="D103" s="27"/>
      <c r="E103" s="27"/>
      <c r="F103" s="24"/>
      <c r="G103" s="24"/>
      <c r="H103" s="21"/>
      <c r="I103" s="21"/>
      <c r="J103" s="21"/>
      <c r="K103" s="21"/>
      <c r="L103" s="21"/>
      <c r="M103" s="21"/>
      <c r="N103" s="21"/>
      <c r="O103" s="21"/>
      <c r="P103" s="21"/>
      <c r="Q103" s="21"/>
      <c r="R103" s="21"/>
    </row>
    <row r="104" spans="3:18" x14ac:dyDescent="0.35">
      <c r="C104" s="29"/>
      <c r="D104" s="27"/>
      <c r="E104" s="27"/>
      <c r="F104" s="24"/>
      <c r="G104" s="24"/>
      <c r="H104" s="21"/>
      <c r="I104" s="21"/>
      <c r="J104" s="21"/>
      <c r="K104" s="21"/>
      <c r="L104" s="21"/>
      <c r="M104" s="21"/>
      <c r="N104" s="21"/>
      <c r="O104" s="21"/>
      <c r="P104" s="21"/>
      <c r="Q104" s="21"/>
      <c r="R104" s="21"/>
    </row>
    <row r="105" spans="3:18" x14ac:dyDescent="0.35">
      <c r="C105" s="29"/>
      <c r="D105" s="27"/>
      <c r="E105" s="27"/>
      <c r="F105" s="24"/>
      <c r="G105" s="24"/>
      <c r="H105" s="21"/>
      <c r="I105" s="21"/>
      <c r="J105" s="21"/>
      <c r="K105" s="21"/>
      <c r="L105" s="21"/>
      <c r="M105" s="21"/>
      <c r="N105" s="21"/>
      <c r="O105" s="21"/>
      <c r="P105" s="21"/>
      <c r="Q105" s="21"/>
      <c r="R105" s="21"/>
    </row>
    <row r="106" spans="3:18" x14ac:dyDescent="0.35">
      <c r="C106" s="29"/>
      <c r="D106" s="27"/>
      <c r="E106" s="27"/>
      <c r="F106" s="24"/>
      <c r="G106" s="24"/>
      <c r="H106" s="21"/>
      <c r="I106" s="21"/>
      <c r="J106" s="21"/>
      <c r="K106" s="21"/>
      <c r="L106" s="21"/>
      <c r="M106" s="21"/>
      <c r="N106" s="21"/>
      <c r="O106" s="21"/>
      <c r="P106" s="21"/>
      <c r="Q106" s="21"/>
      <c r="R106" s="21"/>
    </row>
    <row r="107" spans="3:18" x14ac:dyDescent="0.35">
      <c r="C107" s="29"/>
      <c r="D107" s="27"/>
      <c r="E107" s="27"/>
      <c r="F107" s="24"/>
      <c r="G107" s="24"/>
      <c r="H107" s="21"/>
      <c r="I107" s="21"/>
      <c r="J107" s="21"/>
      <c r="K107" s="21"/>
      <c r="L107" s="21"/>
      <c r="M107" s="21"/>
      <c r="N107" s="21"/>
      <c r="O107" s="21"/>
      <c r="P107" s="21"/>
      <c r="Q107" s="21"/>
      <c r="R107" s="21"/>
    </row>
    <row r="108" spans="3:18" x14ac:dyDescent="0.35">
      <c r="C108" s="29"/>
      <c r="D108" s="27"/>
      <c r="E108" s="27"/>
      <c r="F108" s="24"/>
      <c r="G108" s="24"/>
      <c r="H108" s="21"/>
      <c r="I108" s="21"/>
      <c r="J108" s="21"/>
      <c r="K108" s="21"/>
      <c r="L108" s="21"/>
      <c r="M108" s="21"/>
      <c r="N108" s="21"/>
      <c r="O108" s="21"/>
      <c r="P108" s="21"/>
      <c r="Q108" s="21"/>
      <c r="R108" s="21"/>
    </row>
    <row r="109" spans="3:18" x14ac:dyDescent="0.35">
      <c r="C109" s="29"/>
      <c r="D109" s="27"/>
      <c r="E109" s="27"/>
      <c r="F109" s="24"/>
      <c r="G109" s="24"/>
      <c r="H109" s="21"/>
      <c r="I109" s="21"/>
      <c r="J109" s="21"/>
      <c r="K109" s="21"/>
      <c r="L109" s="21"/>
      <c r="M109" s="21"/>
      <c r="N109" s="21"/>
      <c r="O109" s="21"/>
      <c r="P109" s="21"/>
      <c r="Q109" s="21"/>
      <c r="R109" s="21"/>
    </row>
    <row r="110" spans="3:18" x14ac:dyDescent="0.35">
      <c r="C110" s="29"/>
      <c r="D110" s="27"/>
      <c r="E110" s="27"/>
      <c r="F110" s="24"/>
      <c r="G110" s="24"/>
      <c r="H110" s="21"/>
      <c r="I110" s="21"/>
      <c r="J110" s="21"/>
      <c r="K110" s="21"/>
      <c r="L110" s="21"/>
      <c r="M110" s="21"/>
      <c r="N110" s="21"/>
      <c r="O110" s="21"/>
      <c r="P110" s="21"/>
      <c r="Q110" s="21"/>
      <c r="R110" s="21"/>
    </row>
    <row r="111" spans="3:18" x14ac:dyDescent="0.35">
      <c r="C111" s="29"/>
      <c r="D111" s="27"/>
      <c r="E111" s="27"/>
      <c r="F111" s="24"/>
      <c r="G111" s="24"/>
      <c r="H111" s="21"/>
      <c r="I111" s="21"/>
      <c r="J111" s="21"/>
      <c r="K111" s="21"/>
      <c r="L111" s="21"/>
      <c r="M111" s="21"/>
      <c r="N111" s="21"/>
      <c r="O111" s="21"/>
      <c r="P111" s="21"/>
      <c r="Q111" s="21"/>
      <c r="R111" s="21"/>
    </row>
    <row r="112" spans="3:18" x14ac:dyDescent="0.35">
      <c r="C112" s="29"/>
      <c r="D112" s="27"/>
      <c r="E112" s="27"/>
      <c r="F112" s="24"/>
      <c r="G112" s="24"/>
      <c r="H112" s="21"/>
      <c r="I112" s="21"/>
      <c r="J112" s="21"/>
      <c r="K112" s="21"/>
      <c r="L112" s="21"/>
      <c r="M112" s="21"/>
      <c r="N112" s="21"/>
      <c r="O112" s="21"/>
      <c r="P112" s="21"/>
      <c r="Q112" s="21"/>
      <c r="R112" s="21"/>
    </row>
    <row r="113" spans="2:18" x14ac:dyDescent="0.35">
      <c r="C113" s="29"/>
      <c r="D113" s="27"/>
      <c r="E113" s="27"/>
      <c r="F113" s="24"/>
      <c r="G113" s="24"/>
      <c r="H113" s="21"/>
      <c r="I113" s="21"/>
      <c r="J113" s="21"/>
      <c r="K113" s="21"/>
      <c r="L113" s="21"/>
      <c r="M113" s="21"/>
      <c r="N113" s="21"/>
      <c r="O113" s="21"/>
      <c r="P113" s="21"/>
      <c r="Q113" s="21"/>
      <c r="R113" s="21"/>
    </row>
    <row r="114" spans="2:18" x14ac:dyDescent="0.35">
      <c r="C114" s="29"/>
      <c r="D114" s="27"/>
      <c r="E114" s="27"/>
      <c r="F114" s="24"/>
      <c r="G114" s="24"/>
      <c r="H114" s="21"/>
      <c r="I114" s="21"/>
      <c r="J114" s="21"/>
      <c r="K114" s="21"/>
      <c r="L114" s="21"/>
      <c r="M114" s="21"/>
      <c r="N114" s="21"/>
      <c r="O114" s="21"/>
      <c r="P114" s="21"/>
      <c r="Q114" s="21"/>
      <c r="R114" s="21"/>
    </row>
    <row r="115" spans="2:18" x14ac:dyDescent="0.35">
      <c r="C115" s="29"/>
      <c r="D115" s="27"/>
      <c r="E115" s="27"/>
      <c r="F115" s="24"/>
      <c r="G115" s="24"/>
      <c r="H115" s="21"/>
      <c r="I115" s="21"/>
      <c r="J115" s="21"/>
      <c r="K115" s="21"/>
      <c r="L115" s="21"/>
      <c r="M115" s="21"/>
      <c r="N115" s="21"/>
      <c r="O115" s="21"/>
      <c r="P115" s="21"/>
      <c r="Q115" s="21"/>
      <c r="R115" s="21"/>
    </row>
    <row r="116" spans="2:18" x14ac:dyDescent="0.35">
      <c r="C116" s="29"/>
      <c r="D116" s="27"/>
      <c r="E116" s="27"/>
      <c r="F116" s="24"/>
      <c r="G116" s="24"/>
      <c r="H116" s="21"/>
      <c r="I116" s="21"/>
      <c r="J116" s="21"/>
      <c r="K116" s="21"/>
      <c r="L116" s="21"/>
      <c r="M116" s="21"/>
      <c r="N116" s="21"/>
      <c r="O116" s="21"/>
      <c r="P116" s="21"/>
      <c r="Q116" s="21"/>
      <c r="R116" s="21"/>
    </row>
    <row r="117" spans="2:18" x14ac:dyDescent="0.35">
      <c r="C117" s="29"/>
      <c r="D117" s="27"/>
      <c r="E117" s="27"/>
      <c r="F117" s="24"/>
      <c r="G117" s="24"/>
      <c r="H117" s="21"/>
      <c r="I117" s="21"/>
      <c r="J117" s="21"/>
      <c r="K117" s="21"/>
      <c r="L117" s="21"/>
      <c r="M117" s="21"/>
      <c r="N117" s="21"/>
      <c r="O117" s="21"/>
      <c r="P117" s="21"/>
      <c r="Q117" s="21"/>
      <c r="R117" s="21"/>
    </row>
    <row r="118" spans="2:18" x14ac:dyDescent="0.35">
      <c r="H118" s="21"/>
      <c r="I118" s="21"/>
      <c r="J118" s="21"/>
      <c r="K118" s="21"/>
      <c r="L118" s="21"/>
      <c r="M118" s="21"/>
      <c r="N118" s="21"/>
      <c r="O118" s="21"/>
      <c r="P118" s="21"/>
      <c r="Q118" s="21"/>
      <c r="R118" s="21"/>
    </row>
    <row r="119" spans="2:18" ht="18" x14ac:dyDescent="0.4">
      <c r="B119" s="44" t="s">
        <v>625</v>
      </c>
      <c r="H119" s="21"/>
      <c r="I119" s="21"/>
      <c r="J119" s="21"/>
      <c r="K119" s="21"/>
      <c r="L119" s="21"/>
      <c r="M119" s="21"/>
      <c r="N119" s="21"/>
      <c r="O119" s="21"/>
      <c r="P119" s="21"/>
      <c r="Q119" s="21"/>
      <c r="R119" s="21"/>
    </row>
    <row r="120" spans="2:18" ht="16" thickBot="1" x14ac:dyDescent="0.4">
      <c r="D120" s="88" t="s">
        <v>2</v>
      </c>
      <c r="E120" s="27"/>
      <c r="F120" s="24"/>
      <c r="G120" s="24"/>
      <c r="H120" s="21"/>
      <c r="I120" s="21"/>
      <c r="J120" s="21"/>
      <c r="K120" s="21"/>
      <c r="L120" s="21"/>
      <c r="M120" s="21"/>
      <c r="N120" s="21"/>
      <c r="O120" s="21"/>
      <c r="P120" s="21"/>
      <c r="Q120" s="21"/>
      <c r="R120" s="21"/>
    </row>
    <row r="121" spans="2:18" x14ac:dyDescent="0.35">
      <c r="C121" s="29" t="s">
        <v>606</v>
      </c>
      <c r="D121" s="89">
        <v>90</v>
      </c>
      <c r="E121" s="27" t="s">
        <v>635</v>
      </c>
      <c r="F121" s="24"/>
      <c r="G121" s="24"/>
      <c r="H121" s="21"/>
      <c r="I121" s="21"/>
      <c r="J121" s="21"/>
      <c r="K121" s="21"/>
      <c r="L121" s="21"/>
      <c r="M121" s="21"/>
      <c r="N121" s="21"/>
      <c r="O121" s="21"/>
      <c r="P121" s="21"/>
      <c r="Q121" s="21"/>
      <c r="R121" s="21"/>
    </row>
    <row r="122" spans="2:18" x14ac:dyDescent="0.35">
      <c r="C122" s="29" t="s">
        <v>607</v>
      </c>
      <c r="D122" s="90">
        <v>2.2999999999999998</v>
      </c>
      <c r="E122" s="27" t="s">
        <v>595</v>
      </c>
      <c r="F122" s="24"/>
      <c r="G122" s="24"/>
      <c r="H122" s="21"/>
      <c r="I122" s="21"/>
      <c r="J122" s="21"/>
      <c r="K122" s="21"/>
      <c r="L122" s="21"/>
      <c r="M122" s="21"/>
      <c r="N122" s="21"/>
      <c r="O122" s="21"/>
      <c r="P122" s="21"/>
      <c r="Q122" s="21"/>
      <c r="R122" s="21"/>
    </row>
    <row r="123" spans="2:18" x14ac:dyDescent="0.35">
      <c r="C123" s="29" t="s">
        <v>782</v>
      </c>
      <c r="D123" s="90">
        <v>0.2</v>
      </c>
      <c r="E123" s="27" t="s">
        <v>16</v>
      </c>
      <c r="F123" s="24"/>
      <c r="G123" s="24"/>
      <c r="H123" s="21"/>
      <c r="I123" s="21"/>
      <c r="J123" s="21"/>
      <c r="K123" s="21"/>
      <c r="L123" s="21"/>
      <c r="M123" s="21"/>
      <c r="N123" s="21"/>
      <c r="O123" s="21"/>
      <c r="P123" s="21"/>
      <c r="Q123" s="21"/>
      <c r="R123" s="21"/>
    </row>
    <row r="124" spans="2:18" ht="16" thickBot="1" x14ac:dyDescent="0.4">
      <c r="C124" s="29" t="s">
        <v>867</v>
      </c>
      <c r="D124" s="91">
        <v>1.2250000000000001</v>
      </c>
      <c r="E124" s="27" t="s">
        <v>608</v>
      </c>
      <c r="F124" s="24"/>
      <c r="G124" s="24"/>
      <c r="H124" s="21"/>
      <c r="I124" s="21"/>
      <c r="J124" s="21"/>
      <c r="K124" s="21"/>
      <c r="L124" s="21"/>
      <c r="M124" s="21"/>
      <c r="N124" s="21"/>
      <c r="O124" s="21"/>
      <c r="P124" s="21"/>
      <c r="Q124" s="21"/>
      <c r="R124" s="21"/>
    </row>
    <row r="125" spans="2:18" x14ac:dyDescent="0.35">
      <c r="C125" s="29"/>
      <c r="D125" s="88" t="s">
        <v>605</v>
      </c>
      <c r="E125" s="27"/>
      <c r="F125" s="24"/>
      <c r="G125" s="24"/>
      <c r="H125" s="21"/>
      <c r="I125" s="21"/>
      <c r="J125" s="21"/>
      <c r="K125" s="21"/>
      <c r="L125" s="21"/>
      <c r="M125" s="21"/>
      <c r="N125" s="21"/>
      <c r="O125" s="21"/>
      <c r="P125" s="21"/>
      <c r="Q125" s="21"/>
      <c r="R125" s="21"/>
    </row>
    <row r="126" spans="2:18" x14ac:dyDescent="0.35">
      <c r="C126" s="29" t="s">
        <v>633</v>
      </c>
      <c r="D126" s="27" t="s">
        <v>636</v>
      </c>
      <c r="E126" s="27"/>
      <c r="F126" s="24"/>
      <c r="G126" s="24"/>
      <c r="H126" s="21"/>
      <c r="I126" s="21"/>
      <c r="J126" s="21"/>
      <c r="K126" s="21"/>
      <c r="L126" s="21"/>
      <c r="M126" s="21"/>
      <c r="N126" s="21"/>
      <c r="O126" s="21"/>
      <c r="P126" s="21"/>
      <c r="Q126" s="21"/>
      <c r="R126" s="21"/>
    </row>
    <row r="127" spans="2:18" x14ac:dyDescent="0.35">
      <c r="C127" s="29" t="s">
        <v>4</v>
      </c>
      <c r="D127" s="92">
        <f>D121*0.277778</f>
        <v>25.000020000000003</v>
      </c>
      <c r="E127" s="27" t="s">
        <v>417</v>
      </c>
      <c r="F127" s="24"/>
      <c r="G127" s="24"/>
      <c r="H127" s="21"/>
      <c r="I127" s="21"/>
      <c r="J127" s="21"/>
      <c r="K127" s="21"/>
      <c r="L127" s="21"/>
      <c r="M127" s="21"/>
      <c r="N127" s="21"/>
      <c r="O127" s="21"/>
      <c r="P127" s="21"/>
      <c r="Q127" s="21"/>
      <c r="R127" s="21"/>
    </row>
    <row r="128" spans="2:18" x14ac:dyDescent="0.35">
      <c r="C128" s="29" t="s">
        <v>609</v>
      </c>
      <c r="D128" s="27" t="s">
        <v>868</v>
      </c>
      <c r="E128" s="27"/>
      <c r="F128" s="24"/>
      <c r="G128" s="24"/>
      <c r="H128" s="21"/>
      <c r="I128" s="21"/>
      <c r="J128" s="21"/>
      <c r="K128" s="21"/>
      <c r="L128" s="21"/>
      <c r="M128" s="21"/>
      <c r="N128" s="21"/>
      <c r="O128" s="21"/>
      <c r="P128" s="21"/>
      <c r="Q128" s="21"/>
      <c r="R128" s="21"/>
    </row>
    <row r="129" spans="2:18" x14ac:dyDescent="0.35">
      <c r="C129" s="29" t="s">
        <v>4</v>
      </c>
      <c r="D129" s="92">
        <f>(1/2)*D124*D127^2*D122*D123</f>
        <v>176.09403175011275</v>
      </c>
      <c r="E129" s="27" t="s">
        <v>27</v>
      </c>
      <c r="F129" s="24"/>
      <c r="G129" s="24"/>
      <c r="H129" s="21"/>
      <c r="I129" s="21"/>
      <c r="J129" s="21"/>
      <c r="K129" s="21"/>
      <c r="L129" s="21"/>
      <c r="M129" s="21"/>
      <c r="N129" s="21"/>
      <c r="O129" s="21"/>
      <c r="P129" s="21"/>
      <c r="Q129" s="21"/>
      <c r="R129" s="21"/>
    </row>
    <row r="130" spans="2:18" x14ac:dyDescent="0.35">
      <c r="C130" s="29" t="s">
        <v>630</v>
      </c>
      <c r="D130" s="27" t="s">
        <v>610</v>
      </c>
      <c r="E130" s="27"/>
      <c r="F130" s="24"/>
      <c r="G130" s="24"/>
      <c r="H130" s="21"/>
      <c r="I130" s="21"/>
      <c r="J130" s="21"/>
      <c r="K130" s="21"/>
      <c r="L130" s="21"/>
      <c r="M130" s="21"/>
      <c r="N130" s="21"/>
      <c r="O130" s="21"/>
      <c r="P130" s="21"/>
      <c r="Q130" s="21"/>
      <c r="R130" s="21"/>
    </row>
    <row r="131" spans="2:18" x14ac:dyDescent="0.35">
      <c r="C131" s="86" t="s">
        <v>4</v>
      </c>
      <c r="D131" s="93">
        <f>D129*D127</f>
        <v>4402.3543156334545</v>
      </c>
      <c r="E131" s="4" t="s">
        <v>611</v>
      </c>
      <c r="F131" s="24"/>
      <c r="G131" s="24"/>
      <c r="H131" s="21"/>
      <c r="I131" s="21"/>
      <c r="J131" s="21"/>
      <c r="K131" s="21"/>
      <c r="L131" s="21"/>
      <c r="M131" s="21"/>
      <c r="N131" s="21"/>
      <c r="O131" s="21"/>
      <c r="P131" s="21"/>
      <c r="Q131" s="21"/>
      <c r="R131" s="21"/>
    </row>
    <row r="132" spans="2:18" x14ac:dyDescent="0.35">
      <c r="C132" s="29" t="s">
        <v>783</v>
      </c>
      <c r="D132" s="27" t="s">
        <v>612</v>
      </c>
      <c r="E132" s="27"/>
      <c r="F132" s="24"/>
      <c r="G132" s="24"/>
      <c r="H132" s="21"/>
      <c r="I132" s="21"/>
      <c r="J132" s="21"/>
      <c r="K132" s="21"/>
      <c r="L132" s="21"/>
      <c r="M132" s="21"/>
      <c r="N132" s="21"/>
      <c r="O132" s="21"/>
      <c r="P132" s="21"/>
      <c r="Q132" s="21"/>
      <c r="R132" s="21"/>
    </row>
    <row r="133" spans="2:18" x14ac:dyDescent="0.35">
      <c r="C133" s="86" t="s">
        <v>4</v>
      </c>
      <c r="D133" s="94">
        <f>D131/746</f>
        <v>5.9012792434764805</v>
      </c>
      <c r="E133" s="4" t="s">
        <v>19</v>
      </c>
      <c r="F133" s="24"/>
      <c r="G133" s="24"/>
      <c r="H133" s="21"/>
      <c r="I133" s="21"/>
      <c r="J133" s="21"/>
      <c r="K133" s="21"/>
      <c r="L133" s="21"/>
      <c r="M133" s="21"/>
      <c r="N133" s="21"/>
      <c r="O133" s="21"/>
      <c r="P133" s="21"/>
      <c r="Q133" s="21"/>
      <c r="R133" s="21"/>
    </row>
    <row r="134" spans="2:18" x14ac:dyDescent="0.35">
      <c r="C134" s="29"/>
      <c r="D134" s="27"/>
      <c r="E134" s="27"/>
      <c r="F134" s="24"/>
      <c r="G134" s="24"/>
      <c r="H134" s="21"/>
      <c r="I134" s="21"/>
      <c r="J134" s="21"/>
      <c r="K134" s="21"/>
      <c r="L134" s="21"/>
      <c r="M134" s="21"/>
      <c r="N134" s="21"/>
      <c r="O134" s="21"/>
      <c r="P134" s="21"/>
      <c r="Q134" s="21"/>
      <c r="R134" s="21"/>
    </row>
    <row r="135" spans="2:18" ht="18" x14ac:dyDescent="0.4">
      <c r="B135" s="44" t="s">
        <v>624</v>
      </c>
      <c r="D135" s="27"/>
      <c r="E135" s="27"/>
      <c r="F135" s="24"/>
      <c r="G135" s="24"/>
      <c r="H135" s="21"/>
      <c r="I135" s="21"/>
      <c r="J135" s="21"/>
      <c r="K135" s="21"/>
      <c r="L135" s="21"/>
      <c r="M135" s="21"/>
      <c r="N135" s="21"/>
      <c r="O135" s="21"/>
      <c r="P135" s="21"/>
      <c r="Q135" s="21"/>
      <c r="R135" s="21"/>
    </row>
    <row r="136" spans="2:18" x14ac:dyDescent="0.35">
      <c r="C136" s="29" t="s">
        <v>615</v>
      </c>
      <c r="D136" s="27">
        <v>90</v>
      </c>
      <c r="E136" s="27"/>
      <c r="F136" s="24"/>
      <c r="G136" s="24"/>
      <c r="H136" s="21"/>
      <c r="I136" s="21"/>
      <c r="J136" s="21"/>
      <c r="K136" s="21"/>
      <c r="L136" s="21"/>
      <c r="M136" s="21"/>
      <c r="N136" s="21"/>
      <c r="O136" s="21"/>
      <c r="P136" s="21"/>
      <c r="Q136" s="21"/>
      <c r="R136" s="21"/>
    </row>
    <row r="137" spans="2:18" x14ac:dyDescent="0.35">
      <c r="C137" s="29" t="s">
        <v>614</v>
      </c>
      <c r="D137" s="20" t="s">
        <v>634</v>
      </c>
      <c r="E137" s="27"/>
      <c r="F137" s="24"/>
      <c r="G137" s="24"/>
      <c r="H137" s="21"/>
      <c r="I137" s="21"/>
      <c r="J137" s="21"/>
      <c r="K137" s="21"/>
      <c r="L137" s="21"/>
      <c r="M137" s="21"/>
      <c r="N137" s="21"/>
      <c r="O137" s="21"/>
      <c r="P137" s="21"/>
      <c r="Q137" s="21"/>
      <c r="R137" s="21"/>
    </row>
    <row r="138" spans="2:18" x14ac:dyDescent="0.35">
      <c r="C138" s="86" t="s">
        <v>4</v>
      </c>
      <c r="D138" s="94">
        <f>D136 * 0.6213712</f>
        <v>55.923408000000002</v>
      </c>
      <c r="E138" s="27"/>
      <c r="F138" s="24"/>
      <c r="G138" s="24"/>
      <c r="H138" s="21"/>
      <c r="I138" s="21"/>
      <c r="J138" s="21"/>
      <c r="K138" s="21"/>
      <c r="L138" s="21"/>
      <c r="M138" s="21"/>
      <c r="N138" s="21"/>
      <c r="O138" s="21"/>
      <c r="P138" s="21"/>
      <c r="Q138" s="21"/>
      <c r="R138" s="21"/>
    </row>
    <row r="139" spans="2:18" x14ac:dyDescent="0.35">
      <c r="C139" s="29"/>
      <c r="D139" s="27"/>
      <c r="E139" s="27"/>
      <c r="F139" s="24"/>
      <c r="G139" s="24"/>
      <c r="H139" s="21"/>
      <c r="I139" s="21"/>
      <c r="J139" s="21"/>
      <c r="K139" s="21"/>
      <c r="L139" s="21"/>
      <c r="M139" s="21"/>
      <c r="N139" s="21"/>
      <c r="O139" s="21"/>
      <c r="P139" s="21"/>
      <c r="Q139" s="21"/>
      <c r="R139" s="21"/>
    </row>
    <row r="140" spans="2:18" x14ac:dyDescent="0.35">
      <c r="C140" s="29" t="s">
        <v>617</v>
      </c>
      <c r="D140" s="95">
        <v>10</v>
      </c>
      <c r="E140" s="27"/>
      <c r="F140" s="24"/>
      <c r="G140" s="24"/>
      <c r="H140" s="21"/>
      <c r="I140" s="21"/>
      <c r="J140" s="21"/>
      <c r="K140" s="21"/>
      <c r="L140" s="21"/>
      <c r="M140" s="21"/>
      <c r="N140" s="21"/>
      <c r="O140" s="21"/>
      <c r="P140" s="21"/>
      <c r="Q140" s="21"/>
      <c r="R140" s="21"/>
    </row>
    <row r="141" spans="2:18" x14ac:dyDescent="0.35">
      <c r="C141" s="29" t="s">
        <v>616</v>
      </c>
      <c r="D141" s="20" t="s">
        <v>618</v>
      </c>
      <c r="E141" s="27"/>
      <c r="F141" s="24"/>
      <c r="G141" s="24"/>
      <c r="H141" s="21"/>
      <c r="I141" s="21"/>
      <c r="J141" s="21"/>
      <c r="K141" s="21"/>
      <c r="L141" s="21"/>
      <c r="M141" s="21"/>
      <c r="N141" s="21"/>
      <c r="O141" s="21"/>
      <c r="P141" s="21"/>
      <c r="Q141" s="21"/>
      <c r="R141" s="21"/>
    </row>
    <row r="142" spans="2:18" x14ac:dyDescent="0.35">
      <c r="C142" s="86" t="s">
        <v>4</v>
      </c>
      <c r="D142" s="94">
        <f>D140 * 3.28084</f>
        <v>32.808399999999999</v>
      </c>
      <c r="E142" s="27"/>
      <c r="F142" s="24"/>
      <c r="G142" s="24"/>
      <c r="H142" s="21"/>
      <c r="I142" s="21"/>
      <c r="J142" s="21"/>
      <c r="K142" s="21"/>
      <c r="L142" s="21"/>
      <c r="M142" s="21"/>
      <c r="N142" s="21"/>
      <c r="O142" s="21"/>
      <c r="P142" s="21"/>
      <c r="Q142" s="21"/>
      <c r="R142" s="21"/>
    </row>
    <row r="143" spans="2:18" x14ac:dyDescent="0.35">
      <c r="C143" s="29"/>
      <c r="D143" s="27"/>
      <c r="E143" s="27"/>
      <c r="F143" s="24"/>
      <c r="G143" s="24"/>
      <c r="H143" s="21"/>
      <c r="I143" s="21"/>
      <c r="J143" s="21"/>
      <c r="K143" s="21"/>
      <c r="L143" s="21"/>
      <c r="M143" s="21"/>
      <c r="N143" s="21"/>
      <c r="O143" s="21"/>
      <c r="P143" s="21"/>
      <c r="Q143" s="21"/>
      <c r="R143" s="21"/>
    </row>
    <row r="144" spans="2:18" x14ac:dyDescent="0.35">
      <c r="C144" s="29" t="s">
        <v>619</v>
      </c>
      <c r="D144" s="27">
        <v>2.2999999999999998</v>
      </c>
      <c r="E144" s="27"/>
      <c r="F144" s="24"/>
      <c r="G144" s="24"/>
      <c r="H144" s="21"/>
      <c r="I144" s="21"/>
      <c r="J144" s="21"/>
      <c r="K144" s="21"/>
      <c r="L144" s="21"/>
      <c r="M144" s="21"/>
      <c r="N144" s="21"/>
      <c r="O144" s="21"/>
      <c r="P144" s="21"/>
      <c r="Q144" s="21"/>
      <c r="R144" s="21"/>
    </row>
    <row r="145" spans="2:18" x14ac:dyDescent="0.35">
      <c r="C145" s="29" t="s">
        <v>620</v>
      </c>
      <c r="D145" s="20" t="s">
        <v>621</v>
      </c>
      <c r="E145" s="27"/>
      <c r="F145" s="24"/>
      <c r="G145" s="24"/>
      <c r="H145" s="21"/>
      <c r="I145" s="21"/>
      <c r="J145" s="21"/>
      <c r="K145" s="21"/>
      <c r="L145" s="21"/>
      <c r="M145" s="21"/>
      <c r="N145" s="21"/>
      <c r="O145" s="21"/>
      <c r="P145" s="21"/>
      <c r="Q145" s="21"/>
      <c r="R145" s="21"/>
    </row>
    <row r="146" spans="2:18" x14ac:dyDescent="0.35">
      <c r="C146" s="86" t="s">
        <v>4</v>
      </c>
      <c r="D146" s="94">
        <f>D144 * 3.28084^2</f>
        <v>24.756995542879999</v>
      </c>
      <c r="E146" s="27"/>
      <c r="F146" s="24"/>
      <c r="G146" s="24"/>
      <c r="H146" s="21"/>
      <c r="I146" s="21"/>
      <c r="J146" s="21"/>
      <c r="K146" s="21"/>
      <c r="L146" s="21"/>
      <c r="M146" s="21"/>
      <c r="N146" s="21"/>
      <c r="O146" s="21"/>
      <c r="P146" s="21"/>
      <c r="Q146" s="21"/>
      <c r="R146" s="21"/>
    </row>
    <row r="147" spans="2:18" x14ac:dyDescent="0.35">
      <c r="C147" s="29"/>
      <c r="D147" s="27"/>
      <c r="E147" s="27"/>
      <c r="F147" s="24"/>
      <c r="G147" s="24"/>
      <c r="H147" s="21"/>
      <c r="I147" s="21"/>
      <c r="J147" s="21"/>
      <c r="K147" s="21"/>
      <c r="L147" s="21"/>
      <c r="M147" s="21"/>
      <c r="N147" s="21"/>
      <c r="O147" s="21"/>
      <c r="P147" s="21"/>
      <c r="Q147" s="21"/>
      <c r="R147" s="21"/>
    </row>
    <row r="148" spans="2:18" x14ac:dyDescent="0.35">
      <c r="C148" s="29" t="s">
        <v>622</v>
      </c>
      <c r="D148" s="27">
        <v>1.2250000000000001</v>
      </c>
      <c r="E148" s="27"/>
      <c r="F148" s="24"/>
      <c r="G148" s="24"/>
      <c r="H148" s="21"/>
      <c r="I148" s="21"/>
      <c r="J148" s="21"/>
      <c r="K148" s="21"/>
      <c r="L148" s="21"/>
      <c r="M148" s="21"/>
      <c r="N148" s="21"/>
      <c r="O148" s="21"/>
      <c r="P148" s="21"/>
      <c r="Q148" s="21"/>
      <c r="R148" s="21"/>
    </row>
    <row r="149" spans="2:18" x14ac:dyDescent="0.35">
      <c r="C149" s="29" t="s">
        <v>637</v>
      </c>
      <c r="D149" s="20" t="s">
        <v>623</v>
      </c>
      <c r="E149" s="27"/>
      <c r="F149" s="24"/>
      <c r="G149" s="24"/>
      <c r="H149" s="21"/>
      <c r="I149" s="21"/>
      <c r="J149" s="21"/>
      <c r="K149" s="21"/>
      <c r="L149" s="21"/>
      <c r="M149" s="21"/>
      <c r="N149" s="21"/>
      <c r="O149" s="21"/>
      <c r="P149" s="21"/>
      <c r="Q149" s="21"/>
      <c r="R149" s="21"/>
    </row>
    <row r="150" spans="2:18" x14ac:dyDescent="0.35">
      <c r="C150" s="86" t="s">
        <v>4</v>
      </c>
      <c r="D150" s="96">
        <f>D148 * 0.062428</f>
        <v>7.6474300000000009E-2</v>
      </c>
      <c r="E150" s="27"/>
      <c r="F150" s="24"/>
      <c r="G150" s="24"/>
      <c r="H150" s="21"/>
      <c r="I150" s="21"/>
      <c r="J150" s="21"/>
      <c r="K150" s="21"/>
      <c r="L150" s="21"/>
      <c r="M150" s="21"/>
      <c r="N150" s="21"/>
      <c r="O150" s="21"/>
      <c r="P150" s="21"/>
      <c r="Q150" s="21"/>
      <c r="R150" s="21"/>
    </row>
    <row r="151" spans="2:18" x14ac:dyDescent="0.35">
      <c r="C151" s="29"/>
      <c r="D151" s="27"/>
      <c r="E151" s="27"/>
      <c r="F151" s="24"/>
      <c r="G151" s="24"/>
      <c r="H151" s="21"/>
      <c r="I151" s="21"/>
      <c r="J151" s="21"/>
      <c r="K151" s="21"/>
      <c r="L151" s="21"/>
      <c r="M151" s="21"/>
      <c r="N151" s="21"/>
      <c r="O151" s="21"/>
      <c r="P151" s="21"/>
      <c r="Q151" s="21"/>
      <c r="R151" s="21"/>
    </row>
    <row r="152" spans="2:18" ht="18" x14ac:dyDescent="0.4">
      <c r="B152" s="44" t="s">
        <v>626</v>
      </c>
      <c r="H152" s="21"/>
      <c r="I152" s="21"/>
      <c r="J152" s="21"/>
      <c r="K152" s="21"/>
      <c r="L152" s="21"/>
      <c r="M152" s="21"/>
      <c r="N152" s="21"/>
      <c r="O152" s="21"/>
      <c r="P152" s="21"/>
      <c r="Q152" s="21"/>
      <c r="R152" s="21"/>
    </row>
    <row r="153" spans="2:18" ht="16" thickBot="1" x14ac:dyDescent="0.4">
      <c r="D153" s="88" t="s">
        <v>2</v>
      </c>
      <c r="E153" s="27"/>
      <c r="F153" s="24"/>
      <c r="G153" s="24"/>
      <c r="H153" s="21"/>
      <c r="I153" s="21"/>
      <c r="J153" s="21"/>
      <c r="K153" s="21"/>
      <c r="L153" s="21"/>
      <c r="M153" s="21"/>
      <c r="N153" s="21"/>
      <c r="O153" s="21"/>
      <c r="P153" s="21"/>
      <c r="Q153" s="21"/>
      <c r="R153" s="21"/>
    </row>
    <row r="154" spans="2:18" x14ac:dyDescent="0.35">
      <c r="C154" s="29" t="s">
        <v>606</v>
      </c>
      <c r="D154" s="89">
        <v>60</v>
      </c>
      <c r="E154" s="27" t="s">
        <v>627</v>
      </c>
      <c r="F154" s="24"/>
      <c r="G154" s="24"/>
      <c r="H154" s="21"/>
      <c r="I154" s="21"/>
      <c r="J154" s="21"/>
      <c r="K154" s="21"/>
      <c r="L154" s="21"/>
      <c r="M154" s="21"/>
      <c r="N154" s="21"/>
      <c r="O154" s="21"/>
      <c r="P154" s="21"/>
      <c r="Q154" s="21"/>
      <c r="R154" s="21"/>
    </row>
    <row r="155" spans="2:18" x14ac:dyDescent="0.35">
      <c r="C155" s="29" t="s">
        <v>607</v>
      </c>
      <c r="D155" s="90">
        <v>24.76</v>
      </c>
      <c r="E155" s="27" t="s">
        <v>628</v>
      </c>
      <c r="F155" s="24"/>
      <c r="G155" s="24"/>
      <c r="H155" s="21"/>
      <c r="I155" s="21"/>
      <c r="J155" s="21"/>
      <c r="K155" s="21"/>
      <c r="L155" s="21"/>
      <c r="M155" s="21"/>
      <c r="N155" s="21"/>
      <c r="O155" s="21"/>
      <c r="P155" s="21"/>
      <c r="Q155" s="21"/>
      <c r="R155" s="21"/>
    </row>
    <row r="156" spans="2:18" x14ac:dyDescent="0.35">
      <c r="C156" s="29" t="s">
        <v>782</v>
      </c>
      <c r="D156" s="90">
        <v>0.2</v>
      </c>
      <c r="E156" s="27" t="s">
        <v>16</v>
      </c>
      <c r="F156" s="24"/>
      <c r="G156" s="24"/>
      <c r="H156" s="21"/>
      <c r="I156" s="21"/>
      <c r="J156" s="21"/>
      <c r="K156" s="21"/>
      <c r="L156" s="21"/>
      <c r="M156" s="21"/>
      <c r="N156" s="21"/>
      <c r="O156" s="21"/>
      <c r="P156" s="21"/>
      <c r="Q156" s="21"/>
      <c r="R156" s="21"/>
    </row>
    <row r="157" spans="2:18" ht="16" thickBot="1" x14ac:dyDescent="0.4">
      <c r="C157" s="29" t="s">
        <v>867</v>
      </c>
      <c r="D157" s="91">
        <v>7.6469999999999996E-2</v>
      </c>
      <c r="E157" s="27" t="s">
        <v>503</v>
      </c>
      <c r="F157" s="24"/>
      <c r="G157" s="24"/>
      <c r="H157" s="21"/>
      <c r="I157" s="21"/>
      <c r="J157" s="21"/>
      <c r="K157" s="21"/>
      <c r="L157" s="21"/>
      <c r="M157" s="21"/>
      <c r="N157" s="21"/>
      <c r="O157" s="21"/>
      <c r="P157" s="21"/>
      <c r="Q157" s="21"/>
      <c r="R157" s="21"/>
    </row>
    <row r="158" spans="2:18" x14ac:dyDescent="0.35">
      <c r="C158" s="29"/>
      <c r="D158" s="88" t="s">
        <v>605</v>
      </c>
      <c r="E158" s="27"/>
      <c r="F158" s="24"/>
      <c r="G158" s="24"/>
      <c r="H158" s="21"/>
      <c r="I158" s="21"/>
      <c r="J158" s="21"/>
      <c r="K158" s="21"/>
      <c r="L158" s="21"/>
      <c r="M158" s="21"/>
      <c r="N158" s="21"/>
      <c r="O158" s="21"/>
      <c r="P158" s="21"/>
      <c r="Q158" s="21"/>
      <c r="R158" s="21"/>
    </row>
    <row r="159" spans="2:18" x14ac:dyDescent="0.35">
      <c r="C159" s="29" t="s">
        <v>633</v>
      </c>
      <c r="D159" s="27" t="s">
        <v>632</v>
      </c>
      <c r="E159" s="27"/>
      <c r="F159" s="24"/>
      <c r="G159" s="24"/>
      <c r="H159" s="21"/>
      <c r="I159" s="21"/>
      <c r="J159" s="21"/>
      <c r="K159" s="21"/>
      <c r="L159" s="21"/>
      <c r="M159" s="21"/>
      <c r="N159" s="21"/>
      <c r="O159" s="21"/>
      <c r="P159" s="21"/>
      <c r="Q159" s="21"/>
      <c r="R159" s="21"/>
    </row>
    <row r="160" spans="2:18" x14ac:dyDescent="0.35">
      <c r="C160" s="29" t="s">
        <v>4</v>
      </c>
      <c r="D160" s="92">
        <f>D154*88/61</f>
        <v>86.557377049180332</v>
      </c>
      <c r="E160" s="27" t="s">
        <v>491</v>
      </c>
      <c r="F160" s="24"/>
      <c r="G160" s="24"/>
      <c r="H160" s="21"/>
      <c r="I160" s="21"/>
      <c r="J160" s="21"/>
      <c r="K160" s="21"/>
      <c r="L160" s="21"/>
      <c r="M160" s="21"/>
      <c r="N160" s="21"/>
      <c r="O160" s="21"/>
      <c r="P160" s="21"/>
      <c r="Q160" s="21"/>
      <c r="R160" s="21"/>
    </row>
    <row r="161" spans="2:18" x14ac:dyDescent="0.35">
      <c r="C161" s="29" t="s">
        <v>609</v>
      </c>
      <c r="D161" s="27" t="s">
        <v>869</v>
      </c>
      <c r="E161" s="27"/>
      <c r="F161" s="24"/>
      <c r="G161" s="24"/>
      <c r="H161" s="21"/>
      <c r="I161" s="21"/>
      <c r="J161" s="21"/>
      <c r="K161" s="21"/>
      <c r="L161" s="21"/>
      <c r="M161" s="21"/>
      <c r="N161" s="21"/>
      <c r="O161" s="21"/>
      <c r="P161" s="21"/>
      <c r="Q161" s="21"/>
      <c r="R161" s="21"/>
    </row>
    <row r="162" spans="2:18" x14ac:dyDescent="0.35">
      <c r="C162" s="29" t="s">
        <v>4</v>
      </c>
      <c r="D162" s="97">
        <f>(1/2)*(D157/32.2)*D160^2*D155*D156</f>
        <v>44.054881143351231</v>
      </c>
      <c r="E162" s="27" t="s">
        <v>26</v>
      </c>
      <c r="F162" s="24"/>
      <c r="G162" s="24"/>
      <c r="H162" s="21"/>
      <c r="I162" s="21"/>
      <c r="J162" s="21"/>
      <c r="K162" s="21"/>
      <c r="L162" s="21"/>
      <c r="M162" s="21"/>
      <c r="N162" s="21"/>
      <c r="O162" s="21"/>
      <c r="P162" s="21"/>
      <c r="Q162" s="21"/>
      <c r="R162" s="21"/>
    </row>
    <row r="163" spans="2:18" x14ac:dyDescent="0.35">
      <c r="C163" s="29" t="s">
        <v>783</v>
      </c>
      <c r="D163" s="27" t="s">
        <v>629</v>
      </c>
      <c r="E163" s="27"/>
      <c r="F163" s="24"/>
      <c r="G163" s="24"/>
      <c r="H163" s="21"/>
      <c r="I163" s="21"/>
      <c r="J163" s="21"/>
      <c r="K163" s="21"/>
      <c r="L163" s="21"/>
      <c r="M163" s="21"/>
      <c r="N163" s="21"/>
      <c r="O163" s="21"/>
      <c r="P163" s="21"/>
      <c r="Q163" s="21"/>
      <c r="R163" s="21"/>
    </row>
    <row r="164" spans="2:18" x14ac:dyDescent="0.35">
      <c r="C164" s="86" t="s">
        <v>4</v>
      </c>
      <c r="D164" s="94">
        <f>D162*D160 / 550</f>
        <v>6.9332271963306864</v>
      </c>
      <c r="E164" s="4" t="s">
        <v>19</v>
      </c>
      <c r="F164" s="24"/>
      <c r="G164" s="24"/>
      <c r="H164" s="21"/>
      <c r="I164" s="21"/>
      <c r="J164" s="21"/>
      <c r="K164" s="21"/>
      <c r="L164" s="21"/>
      <c r="M164" s="21"/>
      <c r="N164" s="21"/>
      <c r="O164" s="21"/>
      <c r="P164" s="21"/>
      <c r="Q164" s="21"/>
      <c r="R164" s="21"/>
    </row>
    <row r="165" spans="2:18" x14ac:dyDescent="0.35">
      <c r="C165" s="29" t="s">
        <v>630</v>
      </c>
      <c r="D165" s="27" t="s">
        <v>631</v>
      </c>
      <c r="E165" s="27"/>
      <c r="F165" s="24"/>
      <c r="G165" s="24"/>
      <c r="H165" s="21"/>
      <c r="I165" s="21"/>
      <c r="J165" s="21"/>
      <c r="K165" s="21"/>
      <c r="L165" s="21"/>
      <c r="M165" s="21"/>
      <c r="N165" s="21"/>
      <c r="O165" s="21"/>
      <c r="P165" s="21"/>
      <c r="Q165" s="21"/>
      <c r="R165" s="21"/>
    </row>
    <row r="166" spans="2:18" x14ac:dyDescent="0.35">
      <c r="C166" s="86" t="s">
        <v>4</v>
      </c>
      <c r="D166" s="93">
        <f>D164*747</f>
        <v>5179.1207156590226</v>
      </c>
      <c r="E166" s="4" t="s">
        <v>611</v>
      </c>
      <c r="F166" s="24"/>
      <c r="G166" s="24"/>
      <c r="H166" s="21"/>
      <c r="I166" s="21"/>
      <c r="J166" s="21"/>
      <c r="K166" s="21"/>
      <c r="L166" s="21"/>
      <c r="M166" s="21"/>
      <c r="N166" s="21"/>
      <c r="O166" s="21"/>
      <c r="P166" s="21"/>
      <c r="Q166" s="21"/>
      <c r="R166" s="21"/>
    </row>
    <row r="167" spans="2:18" x14ac:dyDescent="0.35">
      <c r="H167" s="21"/>
      <c r="I167" s="21"/>
      <c r="J167" s="21"/>
      <c r="K167" s="21"/>
      <c r="L167" s="21"/>
      <c r="M167" s="21"/>
      <c r="N167" s="21"/>
      <c r="O167" s="21"/>
      <c r="P167" s="21"/>
      <c r="Q167" s="21"/>
      <c r="R167" s="21"/>
    </row>
    <row r="168" spans="2:18" x14ac:dyDescent="0.35">
      <c r="H168" s="21"/>
      <c r="I168" s="21"/>
      <c r="J168" s="21"/>
      <c r="K168" s="21"/>
      <c r="L168" s="21"/>
      <c r="M168" s="21"/>
      <c r="N168" s="21"/>
      <c r="O168" s="21"/>
      <c r="P168" s="21"/>
      <c r="Q168" s="21"/>
      <c r="R168" s="21"/>
    </row>
    <row r="169" spans="2:18" x14ac:dyDescent="0.35">
      <c r="B169" s="21"/>
      <c r="C169" s="22"/>
      <c r="D169" s="23"/>
      <c r="E169" s="23"/>
      <c r="F169" s="24"/>
      <c r="G169" s="24"/>
      <c r="H169" s="21"/>
      <c r="I169" s="21"/>
      <c r="J169" s="21"/>
      <c r="K169" s="21"/>
      <c r="L169" s="21"/>
      <c r="M169" s="21"/>
      <c r="N169" s="21"/>
      <c r="O169" s="21"/>
      <c r="P169" s="21"/>
      <c r="Q169" s="21"/>
      <c r="R169" s="21"/>
    </row>
    <row r="170" spans="2:18" x14ac:dyDescent="0.35">
      <c r="B170" s="21"/>
      <c r="C170" s="22"/>
      <c r="D170" s="23"/>
      <c r="E170" s="23"/>
      <c r="F170" s="24"/>
      <c r="G170" s="24"/>
      <c r="H170" s="21"/>
      <c r="I170" s="21"/>
      <c r="J170" s="21"/>
      <c r="K170" s="21"/>
      <c r="L170" s="21"/>
      <c r="M170" s="21"/>
      <c r="N170" s="21"/>
      <c r="O170" s="21"/>
      <c r="P170" s="21"/>
      <c r="Q170" s="21"/>
      <c r="R170" s="21"/>
    </row>
    <row r="171" spans="2:18" x14ac:dyDescent="0.35">
      <c r="B171" s="21"/>
      <c r="C171" s="22"/>
      <c r="D171" s="23"/>
      <c r="E171" s="98"/>
      <c r="F171" s="24"/>
      <c r="G171" s="24"/>
      <c r="H171" s="21"/>
      <c r="I171" s="21"/>
      <c r="J171" s="21"/>
      <c r="K171" s="21"/>
      <c r="L171" s="21"/>
      <c r="M171" s="21"/>
      <c r="N171" s="21"/>
      <c r="O171" s="21"/>
      <c r="P171" s="21"/>
      <c r="Q171" s="21"/>
      <c r="R171" s="21"/>
    </row>
    <row r="172" spans="2:18" x14ac:dyDescent="0.35">
      <c r="B172" s="21"/>
      <c r="C172" s="22"/>
      <c r="D172" s="23"/>
      <c r="E172" s="23"/>
      <c r="F172" s="24"/>
      <c r="G172" s="24"/>
      <c r="H172" s="21"/>
      <c r="I172" s="21"/>
      <c r="J172" s="21"/>
      <c r="K172" s="21"/>
      <c r="L172" s="21"/>
      <c r="M172" s="21"/>
      <c r="N172" s="21"/>
      <c r="O172" s="21"/>
      <c r="P172" s="21"/>
      <c r="Q172" s="21"/>
      <c r="R172" s="21"/>
    </row>
    <row r="173" spans="2:18" x14ac:dyDescent="0.35">
      <c r="B173" s="21"/>
      <c r="C173" s="22"/>
      <c r="D173" s="23"/>
      <c r="E173" s="23"/>
      <c r="F173" s="24"/>
      <c r="G173" s="24"/>
      <c r="H173" s="21"/>
      <c r="I173" s="21"/>
      <c r="J173" s="21"/>
      <c r="K173" s="21"/>
      <c r="L173" s="21"/>
      <c r="M173" s="21"/>
      <c r="N173" s="21"/>
      <c r="O173" s="21"/>
      <c r="P173" s="21"/>
      <c r="Q173" s="21"/>
      <c r="R173" s="21"/>
    </row>
    <row r="174" spans="2:18" x14ac:dyDescent="0.35">
      <c r="B174" s="21"/>
      <c r="C174" s="22"/>
      <c r="D174" s="23"/>
      <c r="E174" s="23"/>
      <c r="F174" s="24"/>
      <c r="G174" s="24"/>
      <c r="H174" s="21"/>
      <c r="I174" s="21"/>
      <c r="J174" s="21"/>
      <c r="K174" s="21"/>
      <c r="L174" s="21"/>
      <c r="M174" s="21"/>
      <c r="N174" s="21"/>
      <c r="O174" s="21"/>
      <c r="P174" s="21"/>
      <c r="Q174" s="21"/>
      <c r="R174" s="21"/>
    </row>
    <row r="175" spans="2:18" x14ac:dyDescent="0.35">
      <c r="B175" s="21"/>
      <c r="C175" s="22"/>
      <c r="D175" s="23"/>
      <c r="E175" s="23"/>
      <c r="F175" s="24"/>
      <c r="G175" s="24"/>
      <c r="H175" s="21"/>
      <c r="I175" s="21"/>
      <c r="J175" s="21"/>
      <c r="K175" s="21"/>
      <c r="L175" s="21"/>
      <c r="M175" s="21"/>
      <c r="N175" s="21"/>
      <c r="O175" s="21"/>
      <c r="P175" s="21"/>
      <c r="Q175" s="21"/>
      <c r="R175" s="21"/>
    </row>
    <row r="176" spans="2:18" x14ac:dyDescent="0.35">
      <c r="B176" s="21"/>
      <c r="C176" s="22"/>
      <c r="D176" s="23"/>
      <c r="E176" s="23"/>
      <c r="F176" s="24"/>
      <c r="G176" s="24"/>
      <c r="H176" s="21"/>
      <c r="I176" s="21"/>
      <c r="J176" s="21"/>
      <c r="K176" s="21"/>
      <c r="L176" s="21"/>
      <c r="M176" s="21"/>
      <c r="N176" s="21"/>
      <c r="O176" s="21"/>
      <c r="P176" s="21"/>
      <c r="Q176" s="21"/>
      <c r="R176" s="21"/>
    </row>
    <row r="177" spans="2:18" x14ac:dyDescent="0.35">
      <c r="B177" s="21"/>
      <c r="C177" s="22"/>
      <c r="D177" s="23"/>
      <c r="E177" s="23"/>
      <c r="F177" s="24"/>
      <c r="G177" s="24"/>
      <c r="H177" s="21"/>
      <c r="I177" s="21"/>
      <c r="J177" s="21"/>
      <c r="K177" s="21"/>
      <c r="L177" s="21"/>
      <c r="M177" s="21"/>
      <c r="N177" s="21"/>
      <c r="O177" s="21"/>
      <c r="P177" s="21"/>
      <c r="Q177" s="21"/>
      <c r="R177" s="21"/>
    </row>
    <row r="178" spans="2:18" x14ac:dyDescent="0.35">
      <c r="B178" s="21"/>
      <c r="C178" s="22"/>
      <c r="D178" s="23"/>
      <c r="E178" s="23"/>
      <c r="F178" s="24"/>
      <c r="G178" s="24"/>
      <c r="H178" s="21"/>
      <c r="I178" s="21"/>
      <c r="J178" s="21"/>
      <c r="K178" s="21"/>
      <c r="L178" s="21"/>
      <c r="M178" s="21"/>
      <c r="N178" s="21"/>
      <c r="O178" s="21"/>
      <c r="P178" s="21"/>
      <c r="Q178" s="21"/>
      <c r="R178" s="21"/>
    </row>
    <row r="179" spans="2:18" x14ac:dyDescent="0.35">
      <c r="B179" s="21"/>
      <c r="C179" s="22"/>
      <c r="D179" s="23"/>
      <c r="E179" s="23"/>
      <c r="F179" s="24"/>
      <c r="G179" s="24"/>
      <c r="H179" s="21"/>
      <c r="I179" s="21"/>
      <c r="J179" s="21"/>
      <c r="K179" s="21"/>
      <c r="L179" s="21"/>
      <c r="M179" s="21"/>
      <c r="N179" s="21"/>
      <c r="O179" s="21"/>
      <c r="P179" s="21"/>
      <c r="Q179" s="21"/>
      <c r="R179" s="21"/>
    </row>
    <row r="180" spans="2:18" ht="18" x14ac:dyDescent="0.4">
      <c r="B180" s="21"/>
      <c r="C180" s="44" t="s">
        <v>651</v>
      </c>
      <c r="D180" s="23"/>
      <c r="E180" s="23"/>
      <c r="F180" s="24"/>
      <c r="G180" s="24"/>
      <c r="H180" s="21"/>
      <c r="I180" s="21"/>
      <c r="J180" s="21"/>
      <c r="K180" s="21"/>
      <c r="L180" s="21"/>
      <c r="M180" s="21"/>
      <c r="N180" s="21"/>
      <c r="O180" s="21"/>
      <c r="P180" s="21"/>
      <c r="Q180" s="21"/>
      <c r="R180" s="21"/>
    </row>
    <row r="181" spans="2:18" ht="16" thickBot="1" x14ac:dyDescent="0.4">
      <c r="B181" s="21"/>
      <c r="C181" s="22"/>
      <c r="D181" s="99" t="s">
        <v>2</v>
      </c>
      <c r="E181" s="23"/>
      <c r="F181" s="24"/>
      <c r="G181" s="24"/>
      <c r="H181" s="21"/>
      <c r="I181" s="21"/>
      <c r="J181" s="21"/>
      <c r="K181" s="21"/>
      <c r="L181" s="21"/>
      <c r="M181" s="21"/>
      <c r="N181" s="21"/>
      <c r="O181" s="21"/>
      <c r="P181" s="21"/>
      <c r="Q181" s="21"/>
      <c r="R181" s="21"/>
    </row>
    <row r="182" spans="2:18" x14ac:dyDescent="0.35">
      <c r="B182" s="21"/>
      <c r="C182" s="22" t="s">
        <v>638</v>
      </c>
      <c r="D182" s="89">
        <v>100</v>
      </c>
      <c r="E182" s="23" t="s">
        <v>639</v>
      </c>
      <c r="F182" s="24"/>
      <c r="G182" s="24"/>
      <c r="H182" s="21"/>
      <c r="I182" s="21"/>
      <c r="J182" s="21"/>
      <c r="K182" s="21"/>
      <c r="L182" s="21"/>
      <c r="M182" s="21"/>
      <c r="N182" s="21"/>
      <c r="O182" s="21"/>
      <c r="P182" s="21"/>
      <c r="Q182" s="21"/>
      <c r="R182" s="21"/>
    </row>
    <row r="183" spans="2:18" ht="16" thickBot="1" x14ac:dyDescent="0.4">
      <c r="B183" s="21"/>
      <c r="C183" s="22" t="s">
        <v>647</v>
      </c>
      <c r="D183" s="91">
        <v>3000</v>
      </c>
      <c r="E183" s="23" t="s">
        <v>33</v>
      </c>
      <c r="F183" s="24"/>
      <c r="G183" s="24"/>
      <c r="H183" s="21"/>
      <c r="I183" s="21"/>
      <c r="J183" s="21"/>
      <c r="K183" s="21"/>
      <c r="L183" s="21"/>
      <c r="M183" s="21"/>
      <c r="N183" s="21"/>
      <c r="O183" s="21"/>
      <c r="P183" s="21"/>
      <c r="Q183" s="21"/>
      <c r="R183" s="21"/>
    </row>
    <row r="184" spans="2:18" x14ac:dyDescent="0.35">
      <c r="B184" s="21"/>
      <c r="C184" s="22"/>
      <c r="D184" s="99" t="s">
        <v>640</v>
      </c>
      <c r="E184" s="23"/>
      <c r="F184" s="24"/>
      <c r="G184" s="24"/>
      <c r="H184" s="21"/>
      <c r="I184" s="21"/>
      <c r="J184" s="21"/>
      <c r="K184" s="21"/>
      <c r="L184" s="21"/>
      <c r="M184" s="21"/>
      <c r="N184" s="21"/>
      <c r="O184" s="21"/>
      <c r="P184" s="21"/>
      <c r="Q184" s="21"/>
      <c r="R184" s="21"/>
    </row>
    <row r="185" spans="2:18" x14ac:dyDescent="0.35">
      <c r="B185" s="21"/>
      <c r="C185" s="22" t="s">
        <v>641</v>
      </c>
      <c r="D185" s="23" t="s">
        <v>870</v>
      </c>
      <c r="E185" s="23"/>
      <c r="F185" s="24"/>
      <c r="G185" s="24"/>
      <c r="H185" s="21"/>
      <c r="I185" s="21"/>
      <c r="J185" s="21"/>
      <c r="K185" s="21"/>
      <c r="L185" s="21"/>
      <c r="M185" s="21"/>
      <c r="N185" s="21"/>
      <c r="O185" s="21"/>
      <c r="P185" s="21"/>
      <c r="Q185" s="21"/>
      <c r="R185" s="21"/>
    </row>
    <row r="186" spans="2:18" x14ac:dyDescent="0.35">
      <c r="B186" s="21"/>
      <c r="C186" s="22" t="s">
        <v>4</v>
      </c>
      <c r="D186" s="23">
        <f>D183*2*3.1416 / 60</f>
        <v>314.15999999999997</v>
      </c>
      <c r="E186" s="23" t="s">
        <v>522</v>
      </c>
      <c r="F186" s="24"/>
      <c r="G186" s="24"/>
      <c r="H186" s="21"/>
      <c r="I186" s="21"/>
      <c r="J186" s="21"/>
      <c r="K186" s="21"/>
      <c r="L186" s="21"/>
      <c r="M186" s="21"/>
      <c r="N186" s="21"/>
      <c r="O186" s="21"/>
      <c r="P186" s="21"/>
      <c r="Q186" s="21"/>
      <c r="R186" s="21"/>
    </row>
    <row r="187" spans="2:18" x14ac:dyDescent="0.35">
      <c r="B187" s="21"/>
      <c r="C187" s="22" t="s">
        <v>642</v>
      </c>
      <c r="D187" s="23" t="s">
        <v>643</v>
      </c>
      <c r="E187" s="23"/>
      <c r="F187" s="24"/>
      <c r="G187" s="24"/>
      <c r="H187" s="21"/>
      <c r="I187" s="21"/>
      <c r="J187" s="21"/>
      <c r="K187" s="21"/>
      <c r="L187" s="21"/>
      <c r="M187" s="21"/>
      <c r="N187" s="21"/>
      <c r="O187" s="21"/>
      <c r="P187" s="21"/>
      <c r="Q187" s="21"/>
      <c r="R187" s="21"/>
    </row>
    <row r="188" spans="2:18" x14ac:dyDescent="0.35">
      <c r="B188" s="21"/>
      <c r="C188" s="22" t="s">
        <v>4</v>
      </c>
      <c r="D188" s="23">
        <f>D182*D186</f>
        <v>31415.999999999996</v>
      </c>
      <c r="E188" s="23" t="s">
        <v>611</v>
      </c>
      <c r="F188" s="24"/>
      <c r="G188" s="24"/>
      <c r="H188" s="21"/>
      <c r="I188" s="21"/>
      <c r="J188" s="21"/>
      <c r="K188" s="21"/>
      <c r="L188" s="21"/>
      <c r="M188" s="21"/>
      <c r="N188" s="21"/>
      <c r="O188" s="21"/>
      <c r="P188" s="21"/>
      <c r="Q188" s="21"/>
      <c r="R188" s="21"/>
    </row>
    <row r="189" spans="2:18" x14ac:dyDescent="0.35">
      <c r="B189" s="21"/>
      <c r="C189" s="22" t="s">
        <v>644</v>
      </c>
      <c r="D189" s="23" t="s">
        <v>645</v>
      </c>
      <c r="E189" s="23"/>
      <c r="F189" s="24"/>
      <c r="G189" s="24"/>
      <c r="H189" s="21"/>
      <c r="I189" s="21"/>
      <c r="J189" s="21"/>
      <c r="K189" s="21"/>
      <c r="L189" s="21"/>
      <c r="M189" s="21"/>
      <c r="N189" s="21"/>
      <c r="O189" s="21"/>
      <c r="P189" s="21"/>
      <c r="Q189" s="21"/>
      <c r="R189" s="21"/>
    </row>
    <row r="190" spans="2:18" x14ac:dyDescent="0.35">
      <c r="B190" s="21"/>
      <c r="C190" s="14" t="s">
        <v>4</v>
      </c>
      <c r="D190" s="100">
        <f>D188/746</f>
        <v>42.112600536193021</v>
      </c>
      <c r="E190" s="13" t="s">
        <v>19</v>
      </c>
      <c r="F190" s="24"/>
      <c r="G190" s="24"/>
      <c r="H190" s="21"/>
      <c r="I190" s="21"/>
      <c r="J190" s="21"/>
      <c r="K190" s="21"/>
      <c r="L190" s="21"/>
      <c r="M190" s="21"/>
      <c r="N190" s="21"/>
      <c r="O190" s="21"/>
      <c r="P190" s="21"/>
      <c r="Q190" s="21"/>
      <c r="R190" s="21"/>
    </row>
    <row r="191" spans="2:18" x14ac:dyDescent="0.35">
      <c r="B191" s="21"/>
      <c r="C191" s="22"/>
      <c r="D191" s="23"/>
      <c r="E191" s="23"/>
      <c r="F191" s="24"/>
      <c r="G191" s="24"/>
      <c r="H191" s="21"/>
      <c r="I191" s="21"/>
      <c r="J191" s="21"/>
      <c r="K191" s="21"/>
      <c r="L191" s="21"/>
      <c r="M191" s="21"/>
      <c r="N191" s="21"/>
      <c r="O191" s="21"/>
      <c r="P191" s="21"/>
      <c r="Q191" s="21"/>
      <c r="R191" s="21"/>
    </row>
    <row r="192" spans="2:18" ht="18" x14ac:dyDescent="0.4">
      <c r="B192" s="21"/>
      <c r="C192" s="44" t="s">
        <v>624</v>
      </c>
      <c r="D192" s="23"/>
      <c r="E192" s="23"/>
      <c r="F192" s="24"/>
      <c r="G192" s="24"/>
      <c r="H192" s="21"/>
      <c r="I192" s="21"/>
      <c r="J192" s="21"/>
      <c r="K192" s="21"/>
      <c r="L192" s="21"/>
      <c r="M192" s="21"/>
      <c r="N192" s="21"/>
      <c r="O192" s="21"/>
      <c r="P192" s="21"/>
      <c r="Q192" s="21"/>
      <c r="R192" s="21"/>
    </row>
    <row r="193" spans="2:18" x14ac:dyDescent="0.35">
      <c r="B193" s="21"/>
      <c r="C193" s="29" t="s">
        <v>648</v>
      </c>
      <c r="D193" s="27">
        <v>10</v>
      </c>
      <c r="E193" s="23"/>
      <c r="F193" s="24"/>
      <c r="G193" s="24"/>
      <c r="H193" s="21"/>
      <c r="I193" s="21"/>
      <c r="J193" s="21"/>
      <c r="K193" s="21"/>
      <c r="L193" s="21"/>
      <c r="M193" s="21"/>
      <c r="N193" s="21"/>
      <c r="O193" s="21"/>
      <c r="P193" s="21"/>
      <c r="Q193" s="21"/>
      <c r="R193" s="21"/>
    </row>
    <row r="194" spans="2:18" x14ac:dyDescent="0.35">
      <c r="B194" s="21"/>
      <c r="C194" s="22" t="s">
        <v>646</v>
      </c>
      <c r="D194" s="23" t="s">
        <v>653</v>
      </c>
      <c r="E194" s="23"/>
      <c r="F194" s="24"/>
      <c r="G194" s="24"/>
      <c r="H194" s="21"/>
      <c r="I194" s="21"/>
      <c r="J194" s="21"/>
      <c r="K194" s="21"/>
      <c r="L194" s="21"/>
      <c r="M194" s="21"/>
      <c r="N194" s="21"/>
      <c r="O194" s="21"/>
      <c r="P194" s="21"/>
      <c r="Q194" s="21"/>
      <c r="R194" s="21"/>
    </row>
    <row r="195" spans="2:18" x14ac:dyDescent="0.35">
      <c r="B195" s="21"/>
      <c r="C195" s="22" t="s">
        <v>4</v>
      </c>
      <c r="D195" s="23">
        <f>D193/4.449</f>
        <v>2.2476961114857272</v>
      </c>
      <c r="E195" s="23"/>
      <c r="F195" s="24"/>
      <c r="G195" s="24"/>
      <c r="H195" s="21"/>
      <c r="I195" s="21"/>
      <c r="J195" s="21"/>
      <c r="K195" s="21"/>
      <c r="L195" s="21"/>
      <c r="M195" s="21"/>
      <c r="N195" s="21"/>
      <c r="O195" s="21"/>
      <c r="P195" s="21"/>
      <c r="Q195" s="21"/>
      <c r="R195" s="21"/>
    </row>
    <row r="196" spans="2:18" x14ac:dyDescent="0.35">
      <c r="B196" s="21"/>
      <c r="C196" s="22"/>
      <c r="D196" s="23"/>
      <c r="E196" s="23"/>
      <c r="F196" s="24"/>
      <c r="G196" s="24"/>
      <c r="H196" s="21"/>
      <c r="I196" s="21"/>
      <c r="J196" s="21"/>
      <c r="K196" s="21"/>
      <c r="L196" s="21"/>
      <c r="M196" s="21"/>
      <c r="N196" s="21"/>
      <c r="O196" s="21"/>
      <c r="P196" s="21"/>
      <c r="Q196" s="21"/>
      <c r="R196" s="21"/>
    </row>
    <row r="197" spans="2:18" x14ac:dyDescent="0.35">
      <c r="B197" s="21"/>
      <c r="C197" s="29" t="s">
        <v>617</v>
      </c>
      <c r="D197" s="95">
        <v>10</v>
      </c>
      <c r="E197" s="23"/>
      <c r="F197" s="24"/>
      <c r="G197" s="24"/>
      <c r="H197" s="21"/>
      <c r="I197" s="21"/>
      <c r="J197" s="21"/>
      <c r="K197" s="21"/>
      <c r="L197" s="21"/>
      <c r="M197" s="21"/>
      <c r="N197" s="21"/>
      <c r="O197" s="21"/>
      <c r="P197" s="21"/>
      <c r="Q197" s="21"/>
      <c r="R197" s="21"/>
    </row>
    <row r="198" spans="2:18" x14ac:dyDescent="0.35">
      <c r="B198" s="21"/>
      <c r="C198" s="29" t="s">
        <v>616</v>
      </c>
      <c r="D198" s="20" t="s">
        <v>618</v>
      </c>
      <c r="E198" s="23"/>
      <c r="F198" s="24"/>
      <c r="G198" s="24"/>
      <c r="H198" s="21"/>
      <c r="I198" s="21"/>
      <c r="J198" s="21"/>
      <c r="K198" s="21"/>
      <c r="L198" s="21"/>
      <c r="M198" s="21"/>
      <c r="N198" s="21"/>
      <c r="O198" s="21"/>
      <c r="P198" s="21"/>
      <c r="Q198" s="21"/>
      <c r="R198" s="21"/>
    </row>
    <row r="199" spans="2:18" x14ac:dyDescent="0.35">
      <c r="B199" s="21"/>
      <c r="C199" s="86" t="s">
        <v>4</v>
      </c>
      <c r="D199" s="94">
        <f>D197 * 3.28084</f>
        <v>32.808399999999999</v>
      </c>
      <c r="E199" s="23"/>
      <c r="F199" s="24"/>
      <c r="G199" s="24"/>
      <c r="H199" s="21"/>
      <c r="I199" s="21"/>
      <c r="J199" s="21"/>
      <c r="K199" s="21"/>
      <c r="L199" s="21"/>
      <c r="M199" s="21"/>
      <c r="N199" s="21"/>
      <c r="O199" s="21"/>
      <c r="P199" s="21"/>
      <c r="Q199" s="21"/>
      <c r="R199" s="21"/>
    </row>
    <row r="200" spans="2:18" x14ac:dyDescent="0.35">
      <c r="B200" s="21"/>
      <c r="C200" s="22"/>
      <c r="D200" s="23"/>
      <c r="E200" s="23"/>
      <c r="F200" s="24"/>
      <c r="G200" s="24"/>
      <c r="H200" s="21"/>
      <c r="I200" s="21"/>
      <c r="J200" s="21"/>
      <c r="K200" s="21"/>
      <c r="L200" s="21"/>
      <c r="M200" s="21"/>
      <c r="N200" s="21"/>
      <c r="O200" s="21"/>
      <c r="P200" s="21"/>
      <c r="Q200" s="21"/>
      <c r="R200" s="21"/>
    </row>
    <row r="201" spans="2:18" x14ac:dyDescent="0.35">
      <c r="B201" s="21"/>
      <c r="C201" s="29" t="s">
        <v>649</v>
      </c>
      <c r="D201" s="27">
        <v>100</v>
      </c>
      <c r="E201" s="27"/>
      <c r="F201" s="24"/>
      <c r="G201" s="24"/>
      <c r="H201" s="21"/>
      <c r="I201" s="21"/>
      <c r="J201" s="21"/>
      <c r="K201" s="21"/>
      <c r="L201" s="21"/>
      <c r="M201" s="21"/>
      <c r="N201" s="21"/>
      <c r="O201" s="21"/>
      <c r="P201" s="21"/>
      <c r="Q201" s="21"/>
      <c r="R201" s="21"/>
    </row>
    <row r="202" spans="2:18" x14ac:dyDescent="0.35">
      <c r="B202" s="21"/>
      <c r="C202" s="22" t="s">
        <v>650</v>
      </c>
      <c r="D202" s="23" t="s">
        <v>654</v>
      </c>
      <c r="E202" s="23"/>
      <c r="F202" s="24"/>
      <c r="G202" s="24"/>
      <c r="H202" s="21"/>
      <c r="I202" s="21"/>
      <c r="J202" s="21"/>
      <c r="K202" s="21"/>
      <c r="L202" s="21"/>
      <c r="M202" s="21"/>
      <c r="N202" s="21"/>
      <c r="O202" s="21"/>
      <c r="P202" s="21"/>
      <c r="Q202" s="21"/>
      <c r="R202" s="21"/>
    </row>
    <row r="203" spans="2:18" x14ac:dyDescent="0.35">
      <c r="B203" s="21"/>
      <c r="C203" s="22" t="s">
        <v>4</v>
      </c>
      <c r="D203" s="23" t="s">
        <v>655</v>
      </c>
      <c r="E203" s="23"/>
      <c r="F203" s="24"/>
      <c r="G203" s="24"/>
      <c r="H203" s="21"/>
      <c r="I203" s="21"/>
      <c r="J203" s="21"/>
      <c r="K203" s="21"/>
      <c r="L203" s="21"/>
      <c r="M203" s="21"/>
      <c r="N203" s="21"/>
      <c r="O203" s="21"/>
      <c r="P203" s="21"/>
      <c r="Q203" s="21"/>
      <c r="R203" s="21"/>
    </row>
    <row r="204" spans="2:18" x14ac:dyDescent="0.35">
      <c r="B204" s="21"/>
      <c r="C204" s="22" t="s">
        <v>4</v>
      </c>
      <c r="D204" s="101">
        <f>D201 * 3.28084 / 4.449</f>
        <v>73.743313104068335</v>
      </c>
      <c r="E204" s="23"/>
      <c r="F204" s="24"/>
      <c r="G204" s="24"/>
      <c r="H204" s="21"/>
      <c r="I204" s="21"/>
      <c r="J204" s="21"/>
      <c r="K204" s="21"/>
      <c r="L204" s="21"/>
      <c r="M204" s="21"/>
      <c r="N204" s="21"/>
      <c r="O204" s="21"/>
      <c r="P204" s="21"/>
      <c r="Q204" s="21"/>
      <c r="R204" s="21"/>
    </row>
    <row r="205" spans="2:18" x14ac:dyDescent="0.35">
      <c r="B205" s="21"/>
      <c r="C205" s="29"/>
      <c r="D205" s="27"/>
      <c r="E205" s="27"/>
      <c r="F205" s="25"/>
      <c r="G205" s="24"/>
      <c r="H205" s="21"/>
      <c r="I205" s="21"/>
      <c r="J205" s="21"/>
      <c r="K205" s="21"/>
      <c r="L205" s="21"/>
      <c r="M205" s="21"/>
      <c r="N205" s="21"/>
      <c r="O205" s="21"/>
      <c r="P205" s="21"/>
      <c r="Q205" s="21"/>
      <c r="R205" s="21"/>
    </row>
    <row r="206" spans="2:18" ht="18" x14ac:dyDescent="0.4">
      <c r="B206" s="21"/>
      <c r="C206" s="44" t="s">
        <v>652</v>
      </c>
      <c r="D206" s="23"/>
      <c r="E206" s="23"/>
      <c r="F206" s="24"/>
      <c r="G206" s="24"/>
      <c r="H206" s="21"/>
      <c r="I206" s="21"/>
      <c r="J206" s="21"/>
      <c r="K206" s="21"/>
      <c r="L206" s="21"/>
      <c r="M206" s="21"/>
      <c r="N206" s="21"/>
      <c r="O206" s="21"/>
      <c r="P206" s="21"/>
      <c r="Q206" s="21"/>
      <c r="R206" s="21"/>
    </row>
    <row r="207" spans="2:18" ht="16" thickBot="1" x14ac:dyDescent="0.4">
      <c r="B207" s="21"/>
      <c r="C207" s="22"/>
      <c r="D207" s="99" t="s">
        <v>2</v>
      </c>
      <c r="E207" s="23"/>
      <c r="F207" s="24"/>
      <c r="G207" s="24"/>
      <c r="H207" s="21"/>
      <c r="I207" s="21"/>
      <c r="J207" s="21"/>
      <c r="K207" s="21"/>
      <c r="L207" s="21"/>
      <c r="M207" s="21"/>
      <c r="N207" s="21"/>
      <c r="O207" s="21"/>
      <c r="P207" s="21"/>
      <c r="Q207" s="21"/>
      <c r="R207" s="21"/>
    </row>
    <row r="208" spans="2:18" x14ac:dyDescent="0.35">
      <c r="B208" s="21"/>
      <c r="C208" s="22" t="s">
        <v>638</v>
      </c>
      <c r="D208" s="89">
        <v>90</v>
      </c>
      <c r="E208" s="23" t="s">
        <v>21</v>
      </c>
      <c r="F208" s="24"/>
      <c r="G208" s="24"/>
      <c r="H208" s="21"/>
      <c r="I208" s="21"/>
      <c r="J208" s="21"/>
      <c r="K208" s="21"/>
      <c r="L208" s="21"/>
      <c r="M208" s="21"/>
      <c r="N208" s="21"/>
      <c r="O208" s="21"/>
      <c r="P208" s="21"/>
      <c r="Q208" s="21"/>
      <c r="R208" s="21"/>
    </row>
    <row r="209" spans="2:18" ht="16" thickBot="1" x14ac:dyDescent="0.4">
      <c r="B209" s="21"/>
      <c r="C209" s="22" t="s">
        <v>647</v>
      </c>
      <c r="D209" s="91">
        <v>2000</v>
      </c>
      <c r="E209" s="23" t="s">
        <v>33</v>
      </c>
      <c r="F209" s="24"/>
      <c r="G209" s="24"/>
      <c r="H209" s="21"/>
      <c r="I209" s="21"/>
      <c r="J209" s="21"/>
      <c r="K209" s="21"/>
      <c r="L209" s="21"/>
      <c r="M209" s="21"/>
      <c r="N209" s="21"/>
      <c r="O209" s="21"/>
      <c r="P209" s="21"/>
      <c r="Q209" s="21"/>
      <c r="R209" s="21"/>
    </row>
    <row r="210" spans="2:18" x14ac:dyDescent="0.35">
      <c r="B210" s="21"/>
      <c r="C210" s="22"/>
      <c r="D210" s="99" t="s">
        <v>640</v>
      </c>
      <c r="E210" s="23"/>
      <c r="F210" s="24"/>
      <c r="G210" s="24"/>
      <c r="H210" s="21"/>
      <c r="I210" s="21"/>
      <c r="J210" s="21"/>
      <c r="K210" s="21"/>
      <c r="L210" s="21"/>
      <c r="M210" s="21"/>
      <c r="N210" s="21"/>
      <c r="O210" s="21"/>
      <c r="P210" s="21"/>
      <c r="Q210" s="21"/>
      <c r="R210" s="21"/>
    </row>
    <row r="211" spans="2:18" x14ac:dyDescent="0.35">
      <c r="B211" s="21"/>
      <c r="C211" s="22" t="s">
        <v>644</v>
      </c>
      <c r="D211" s="23" t="s">
        <v>871</v>
      </c>
      <c r="E211" s="23"/>
      <c r="F211" s="24"/>
      <c r="G211" s="24"/>
      <c r="H211" s="21"/>
      <c r="I211" s="21"/>
      <c r="J211" s="21"/>
      <c r="K211" s="21"/>
      <c r="L211" s="21"/>
      <c r="M211" s="21"/>
      <c r="N211" s="21"/>
      <c r="O211" s="21"/>
      <c r="P211" s="21"/>
      <c r="Q211" s="21"/>
      <c r="R211" s="21"/>
    </row>
    <row r="212" spans="2:18" x14ac:dyDescent="0.35">
      <c r="B212" s="21"/>
      <c r="C212" s="14"/>
      <c r="D212" s="100">
        <f>2*3.1416*D209*D208 / 33000</f>
        <v>34.271999999999998</v>
      </c>
      <c r="E212" s="13" t="s">
        <v>19</v>
      </c>
      <c r="F212" s="24"/>
      <c r="G212" s="24"/>
      <c r="H212" s="21"/>
      <c r="I212" s="21"/>
      <c r="J212" s="21"/>
      <c r="K212" s="21"/>
      <c r="L212" s="21"/>
      <c r="M212" s="21"/>
      <c r="N212" s="21"/>
      <c r="O212" s="21"/>
      <c r="P212" s="21"/>
      <c r="Q212" s="21"/>
      <c r="R212" s="21"/>
    </row>
    <row r="213" spans="2:18" x14ac:dyDescent="0.35">
      <c r="B213" s="21"/>
      <c r="C213" s="22" t="s">
        <v>642</v>
      </c>
      <c r="D213" s="23" t="s">
        <v>631</v>
      </c>
      <c r="E213" s="23"/>
      <c r="F213" s="24"/>
      <c r="G213" s="24"/>
      <c r="H213" s="21"/>
      <c r="I213" s="21"/>
      <c r="J213" s="21"/>
      <c r="K213" s="21"/>
      <c r="L213" s="21"/>
      <c r="M213" s="21"/>
      <c r="N213" s="21"/>
      <c r="O213" s="21"/>
      <c r="P213" s="21"/>
      <c r="Q213" s="21"/>
      <c r="R213" s="21"/>
    </row>
    <row r="214" spans="2:18" x14ac:dyDescent="0.35">
      <c r="B214" s="21"/>
      <c r="C214" s="22" t="s">
        <v>4</v>
      </c>
      <c r="D214" s="102">
        <f>D212*747</f>
        <v>25601.183999999997</v>
      </c>
      <c r="E214" s="23" t="s">
        <v>611</v>
      </c>
      <c r="F214" s="24"/>
      <c r="G214" s="24"/>
      <c r="H214" s="21"/>
      <c r="I214" s="21"/>
      <c r="J214" s="21"/>
      <c r="K214" s="21"/>
      <c r="L214" s="21"/>
      <c r="M214" s="21"/>
      <c r="N214" s="21"/>
      <c r="O214" s="21"/>
      <c r="P214" s="21"/>
      <c r="Q214" s="21"/>
      <c r="R214" s="21"/>
    </row>
    <row r="215" spans="2:18" x14ac:dyDescent="0.35">
      <c r="H215" s="21"/>
      <c r="I215" s="21"/>
      <c r="J215" s="21"/>
      <c r="K215" s="21"/>
      <c r="L215" s="21"/>
      <c r="M215" s="21"/>
      <c r="N215" s="21"/>
      <c r="O215" s="21"/>
      <c r="P215" s="21"/>
      <c r="Q215" s="21"/>
      <c r="R215" s="21"/>
    </row>
    <row r="216" spans="2:18" x14ac:dyDescent="0.35">
      <c r="B216" s="2"/>
      <c r="H216" s="21"/>
      <c r="I216" s="21"/>
      <c r="J216" s="21"/>
      <c r="K216" s="21"/>
      <c r="L216" s="21"/>
      <c r="M216" s="21"/>
      <c r="N216" s="21"/>
      <c r="O216" s="21"/>
      <c r="P216" s="21"/>
      <c r="Q216" s="21"/>
      <c r="R216" s="21"/>
    </row>
    <row r="217" spans="2:18" x14ac:dyDescent="0.35">
      <c r="C217" s="20" t="s">
        <v>927</v>
      </c>
      <c r="H217" s="21"/>
      <c r="I217" s="21"/>
      <c r="J217" s="21"/>
      <c r="K217" s="21"/>
      <c r="L217" s="21"/>
      <c r="M217" s="21"/>
      <c r="N217" s="21"/>
      <c r="O217" s="21"/>
      <c r="P217" s="21"/>
      <c r="Q217" s="21"/>
      <c r="R217" s="21"/>
    </row>
    <row r="218" spans="2:18" x14ac:dyDescent="0.35">
      <c r="H218" s="21"/>
      <c r="I218" s="21"/>
      <c r="J218" s="21"/>
      <c r="K218" s="21"/>
      <c r="L218" s="21"/>
      <c r="M218" s="21"/>
      <c r="N218" s="21"/>
      <c r="O218" s="21"/>
      <c r="P218" s="21"/>
      <c r="Q218" s="21"/>
      <c r="R218" s="21"/>
    </row>
    <row r="219" spans="2:18" x14ac:dyDescent="0.35">
      <c r="H219" s="21"/>
      <c r="I219" s="21"/>
      <c r="J219" s="21"/>
      <c r="K219" s="21"/>
      <c r="L219" s="21"/>
      <c r="M219" s="21"/>
      <c r="N219" s="21"/>
      <c r="O219" s="21"/>
      <c r="P219" s="21"/>
      <c r="Q219" s="21"/>
      <c r="R219" s="21"/>
    </row>
    <row r="220" spans="2:18" x14ac:dyDescent="0.35">
      <c r="H220" s="21"/>
      <c r="I220" s="21"/>
      <c r="J220" s="21"/>
      <c r="K220" s="21"/>
      <c r="L220" s="21"/>
      <c r="M220" s="21"/>
      <c r="N220" s="21"/>
      <c r="O220" s="21"/>
      <c r="P220" s="21"/>
      <c r="Q220" s="21"/>
      <c r="R220" s="21"/>
    </row>
    <row r="221" spans="2:18" x14ac:dyDescent="0.35">
      <c r="H221" s="21"/>
      <c r="I221" s="21"/>
      <c r="J221" s="21"/>
      <c r="K221" s="21"/>
      <c r="L221" s="21"/>
      <c r="M221" s="21"/>
      <c r="N221" s="21"/>
      <c r="O221" s="21"/>
      <c r="P221" s="21"/>
      <c r="Q221" s="21"/>
      <c r="R221" s="21"/>
    </row>
    <row r="222" spans="2:18" x14ac:dyDescent="0.35">
      <c r="H222" s="21"/>
      <c r="I222" s="21"/>
      <c r="J222" s="21"/>
      <c r="K222" s="21"/>
      <c r="L222" s="21"/>
      <c r="M222" s="21"/>
      <c r="N222" s="21"/>
      <c r="O222" s="21"/>
      <c r="P222" s="21"/>
      <c r="Q222" s="21"/>
      <c r="R222" s="21"/>
    </row>
    <row r="223" spans="2:18" x14ac:dyDescent="0.35">
      <c r="H223" s="21"/>
      <c r="I223" s="21"/>
      <c r="J223" s="21"/>
      <c r="K223" s="21"/>
      <c r="L223" s="21"/>
      <c r="M223" s="21"/>
      <c r="N223" s="21"/>
      <c r="O223" s="21"/>
      <c r="P223" s="21"/>
      <c r="Q223" s="21"/>
      <c r="R223" s="21"/>
    </row>
    <row r="224" spans="2:18" x14ac:dyDescent="0.35">
      <c r="H224" s="21"/>
      <c r="I224" s="21"/>
      <c r="J224" s="21"/>
      <c r="K224" s="21"/>
      <c r="L224" s="21"/>
      <c r="M224" s="21"/>
      <c r="N224" s="21"/>
      <c r="O224" s="21"/>
      <c r="P224" s="21"/>
      <c r="Q224" s="21"/>
      <c r="R224" s="21"/>
    </row>
    <row r="225" spans="10:18" x14ac:dyDescent="0.35">
      <c r="J225" s="21"/>
      <c r="K225" s="21"/>
      <c r="L225" s="21"/>
      <c r="M225" s="21"/>
      <c r="N225" s="21"/>
      <c r="O225" s="21"/>
      <c r="P225" s="21"/>
      <c r="Q225" s="21"/>
      <c r="R225" s="21"/>
    </row>
    <row r="226" spans="10:18" x14ac:dyDescent="0.35">
      <c r="J226" s="21"/>
      <c r="K226" s="21"/>
      <c r="L226" s="21"/>
      <c r="M226" s="21"/>
      <c r="N226" s="21"/>
      <c r="O226" s="21"/>
      <c r="P226" s="21"/>
      <c r="Q226" s="21"/>
      <c r="R226" s="21"/>
    </row>
  </sheetData>
  <sheetProtection sheet="1" objects="1" scenarios="1" selectLockedCells="1"/>
  <phoneticPr fontId="4" type="noConversion"/>
  <hyperlinks>
    <hyperlink ref="C96" r:id="rId1" xr:uid="{00000000-0004-0000-0100-000000000000}"/>
  </hyperlinks>
  <pageMargins left="0.75" right="0.75" top="1" bottom="1" header="0.5" footer="0.5"/>
  <pageSetup orientation="portrait" horizontalDpi="300" verticalDpi="3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831"/>
  <sheetViews>
    <sheetView zoomScaleNormal="100" workbookViewId="0">
      <selection activeCell="F1" sqref="F1"/>
    </sheetView>
  </sheetViews>
  <sheetFormatPr defaultColWidth="11.54296875" defaultRowHeight="15.5" x14ac:dyDescent="0.35"/>
  <cols>
    <col min="1" max="1" width="7.54296875" style="20" customWidth="1"/>
    <col min="2" max="2" width="53.1796875" style="29" customWidth="1"/>
    <col min="3" max="3" width="15.7265625" style="27" customWidth="1"/>
    <col min="4" max="4" width="14.7265625" style="27" customWidth="1"/>
    <col min="5" max="5" width="13" style="20" customWidth="1"/>
    <col min="6" max="6" width="6.453125" style="20" customWidth="1"/>
    <col min="7" max="7" width="39.26953125" style="29" customWidth="1"/>
    <col min="8" max="8" width="17.54296875" style="27" customWidth="1"/>
    <col min="9" max="9" width="9.453125" style="27" customWidth="1"/>
    <col min="10" max="10" width="15.453125" style="27" customWidth="1"/>
    <col min="11" max="11" width="8.7265625" style="20" customWidth="1"/>
    <col min="12" max="12" width="11.54296875" style="26"/>
    <col min="13" max="13" width="11.54296875" style="27"/>
    <col min="14" max="14" width="41.7265625" style="29" customWidth="1"/>
    <col min="15" max="17" width="11.54296875" style="20"/>
    <col min="18" max="18" width="12.54296875" style="29" customWidth="1"/>
    <col min="19" max="19" width="11.54296875" style="20"/>
    <col min="20" max="20" width="14.7265625" style="20" customWidth="1"/>
    <col min="21" max="16384" width="11.54296875" style="20"/>
  </cols>
  <sheetData>
    <row r="1" spans="2:12" ht="20" x14ac:dyDescent="0.4">
      <c r="B1" s="46" t="s">
        <v>928</v>
      </c>
      <c r="C1" s="23"/>
      <c r="D1" s="23"/>
      <c r="E1" s="128"/>
      <c r="F1" s="128"/>
      <c r="G1" s="22"/>
      <c r="H1" s="23"/>
      <c r="I1" s="13"/>
      <c r="J1" s="23"/>
      <c r="K1" s="21"/>
      <c r="L1" s="83"/>
    </row>
    <row r="2" spans="2:12" x14ac:dyDescent="0.35">
      <c r="B2" s="27"/>
      <c r="C2" s="23"/>
      <c r="D2" s="23"/>
      <c r="E2" s="21"/>
      <c r="F2" s="21"/>
      <c r="G2" s="22"/>
      <c r="H2" s="23"/>
      <c r="I2" s="23"/>
      <c r="J2" s="23"/>
      <c r="K2" s="21"/>
      <c r="L2" s="83"/>
    </row>
    <row r="3" spans="2:12" x14ac:dyDescent="0.35">
      <c r="B3" s="2"/>
      <c r="C3" s="23"/>
      <c r="D3" s="23"/>
      <c r="E3" s="21"/>
      <c r="F3" s="21"/>
      <c r="G3" s="129"/>
      <c r="H3" s="130"/>
      <c r="I3" s="131"/>
      <c r="J3" s="195"/>
      <c r="K3" s="21"/>
      <c r="L3" s="83"/>
    </row>
    <row r="4" spans="2:12" x14ac:dyDescent="0.35">
      <c r="F4" s="21"/>
      <c r="G4" s="129"/>
      <c r="H4" s="23"/>
      <c r="I4" s="130"/>
      <c r="J4" s="146"/>
      <c r="K4" s="21"/>
      <c r="L4" s="83"/>
    </row>
    <row r="5" spans="2:12" x14ac:dyDescent="0.35">
      <c r="F5" s="21"/>
      <c r="G5" s="22"/>
      <c r="H5" s="23"/>
      <c r="I5" s="23"/>
      <c r="J5" s="146"/>
      <c r="K5" s="21"/>
      <c r="L5" s="83"/>
    </row>
    <row r="6" spans="2:12" x14ac:dyDescent="0.35">
      <c r="E6" s="133"/>
      <c r="F6" s="21"/>
      <c r="G6" s="22"/>
      <c r="H6" s="23"/>
      <c r="I6" s="23"/>
      <c r="J6" s="23"/>
      <c r="K6" s="21"/>
      <c r="L6" s="83"/>
    </row>
    <row r="7" spans="2:12" x14ac:dyDescent="0.35">
      <c r="E7" s="27"/>
      <c r="F7" s="21"/>
      <c r="G7" s="22"/>
      <c r="H7" s="23"/>
      <c r="I7" s="23"/>
      <c r="J7" s="23"/>
      <c r="K7" s="21"/>
      <c r="L7" s="83"/>
    </row>
    <row r="8" spans="2:12" x14ac:dyDescent="0.35">
      <c r="E8" s="27"/>
      <c r="F8" s="21"/>
      <c r="G8" s="22"/>
      <c r="H8" s="23"/>
      <c r="I8" s="23"/>
      <c r="J8" s="23"/>
      <c r="K8" s="21"/>
      <c r="L8" s="21"/>
    </row>
    <row r="9" spans="2:12" x14ac:dyDescent="0.35">
      <c r="E9" s="27"/>
      <c r="F9" s="21"/>
      <c r="G9" s="22"/>
      <c r="H9" s="23"/>
      <c r="I9" s="23"/>
      <c r="J9" s="23"/>
      <c r="K9" s="21"/>
      <c r="L9" s="21"/>
    </row>
    <row r="10" spans="2:12" x14ac:dyDescent="0.35">
      <c r="E10" s="27"/>
      <c r="F10" s="21"/>
      <c r="G10" s="22"/>
      <c r="H10" s="23"/>
      <c r="I10" s="23"/>
      <c r="J10" s="23"/>
      <c r="K10" s="21"/>
      <c r="L10" s="21"/>
    </row>
    <row r="11" spans="2:12" x14ac:dyDescent="0.35">
      <c r="E11" s="27"/>
      <c r="F11" s="21"/>
      <c r="G11" s="22"/>
      <c r="H11" s="23"/>
      <c r="I11" s="23"/>
      <c r="J11" s="23"/>
      <c r="K11" s="21"/>
      <c r="L11" s="21"/>
    </row>
    <row r="12" spans="2:12" x14ac:dyDescent="0.35">
      <c r="E12" s="27"/>
      <c r="F12" s="21"/>
      <c r="G12" s="22"/>
      <c r="H12" s="23"/>
      <c r="I12" s="23"/>
      <c r="J12" s="23"/>
      <c r="K12" s="21"/>
      <c r="L12" s="21"/>
    </row>
    <row r="13" spans="2:12" x14ac:dyDescent="0.35">
      <c r="E13" s="27"/>
      <c r="F13" s="21"/>
      <c r="G13" s="22"/>
      <c r="H13" s="23"/>
      <c r="I13" s="23"/>
      <c r="J13" s="23"/>
      <c r="K13" s="21"/>
      <c r="L13" s="21"/>
    </row>
    <row r="14" spans="2:12" x14ac:dyDescent="0.35">
      <c r="E14" s="27"/>
      <c r="F14" s="21"/>
      <c r="G14" s="22"/>
      <c r="H14" s="23"/>
      <c r="I14" s="23"/>
      <c r="J14" s="23"/>
      <c r="K14" s="21"/>
      <c r="L14" s="21"/>
    </row>
    <row r="15" spans="2:12" x14ac:dyDescent="0.35">
      <c r="E15" s="27"/>
      <c r="F15" s="21"/>
      <c r="G15" s="22"/>
      <c r="H15" s="23"/>
      <c r="I15" s="23"/>
      <c r="J15" s="23"/>
      <c r="K15" s="21"/>
      <c r="L15" s="21"/>
    </row>
    <row r="16" spans="2:12" x14ac:dyDescent="0.35">
      <c r="E16" s="27"/>
      <c r="F16" s="21"/>
      <c r="G16" s="22"/>
      <c r="H16" s="23"/>
      <c r="I16" s="23"/>
      <c r="J16" s="23"/>
      <c r="K16" s="21"/>
      <c r="L16" s="21"/>
    </row>
    <row r="17" spans="5:12" x14ac:dyDescent="0.35">
      <c r="E17" s="27"/>
      <c r="F17" s="21"/>
      <c r="G17" s="22"/>
      <c r="H17" s="23"/>
      <c r="I17" s="23"/>
      <c r="J17" s="23"/>
      <c r="K17" s="21"/>
      <c r="L17" s="21"/>
    </row>
    <row r="18" spans="5:12" x14ac:dyDescent="0.35">
      <c r="E18" s="27"/>
      <c r="F18" s="21"/>
      <c r="G18" s="22"/>
      <c r="H18" s="23"/>
      <c r="I18" s="23"/>
      <c r="J18" s="23"/>
      <c r="K18" s="21"/>
      <c r="L18" s="21"/>
    </row>
    <row r="19" spans="5:12" x14ac:dyDescent="0.35">
      <c r="E19" s="27"/>
      <c r="F19" s="21"/>
      <c r="G19" s="22"/>
      <c r="H19" s="23"/>
      <c r="I19" s="23"/>
      <c r="J19" s="23"/>
      <c r="K19" s="21"/>
      <c r="L19" s="21"/>
    </row>
    <row r="20" spans="5:12" x14ac:dyDescent="0.35">
      <c r="E20" s="27"/>
      <c r="F20" s="21"/>
      <c r="G20" s="22"/>
      <c r="H20" s="23"/>
      <c r="I20" s="23"/>
      <c r="J20" s="23"/>
      <c r="K20" s="21"/>
      <c r="L20" s="21"/>
    </row>
    <row r="21" spans="5:12" x14ac:dyDescent="0.35">
      <c r="E21" s="27"/>
      <c r="F21" s="21"/>
      <c r="G21" s="22"/>
      <c r="H21" s="23"/>
      <c r="I21" s="23"/>
      <c r="J21" s="23"/>
      <c r="K21" s="21"/>
      <c r="L21" s="21"/>
    </row>
    <row r="22" spans="5:12" x14ac:dyDescent="0.35">
      <c r="E22" s="27"/>
      <c r="F22" s="21"/>
      <c r="G22" s="22"/>
      <c r="H22" s="23"/>
      <c r="I22" s="23"/>
      <c r="J22" s="23"/>
      <c r="K22" s="21"/>
      <c r="L22" s="21"/>
    </row>
    <row r="23" spans="5:12" x14ac:dyDescent="0.35">
      <c r="E23" s="27"/>
      <c r="F23" s="21"/>
      <c r="G23" s="22"/>
      <c r="H23" s="23"/>
      <c r="I23" s="23"/>
      <c r="J23" s="23"/>
      <c r="K23" s="21"/>
      <c r="L23" s="21"/>
    </row>
    <row r="24" spans="5:12" x14ac:dyDescent="0.35">
      <c r="E24" s="27"/>
      <c r="F24" s="21"/>
      <c r="G24" s="22"/>
      <c r="H24" s="23"/>
      <c r="I24" s="23"/>
      <c r="J24" s="23"/>
      <c r="K24" s="21"/>
      <c r="L24" s="21"/>
    </row>
    <row r="25" spans="5:12" x14ac:dyDescent="0.35">
      <c r="E25" s="27"/>
      <c r="F25" s="21"/>
      <c r="G25" s="22"/>
      <c r="H25" s="23"/>
      <c r="I25" s="23"/>
      <c r="J25" s="23"/>
      <c r="K25" s="21"/>
      <c r="L25" s="21"/>
    </row>
    <row r="26" spans="5:12" x14ac:dyDescent="0.35">
      <c r="E26" s="27"/>
      <c r="F26" s="21"/>
      <c r="G26" s="22"/>
      <c r="H26" s="23"/>
      <c r="I26" s="23"/>
      <c r="J26" s="23"/>
      <c r="K26" s="21"/>
      <c r="L26" s="21"/>
    </row>
    <row r="27" spans="5:12" x14ac:dyDescent="0.35">
      <c r="E27" s="27"/>
      <c r="F27" s="21"/>
      <c r="G27" s="22"/>
      <c r="H27" s="23"/>
      <c r="I27" s="23"/>
      <c r="J27" s="23"/>
      <c r="K27" s="21"/>
      <c r="L27" s="21"/>
    </row>
    <row r="28" spans="5:12" x14ac:dyDescent="0.35">
      <c r="E28" s="27"/>
      <c r="F28" s="21"/>
      <c r="G28" s="22"/>
      <c r="H28" s="23"/>
      <c r="I28" s="23"/>
      <c r="J28" s="23"/>
      <c r="K28" s="21"/>
      <c r="L28" s="21"/>
    </row>
    <row r="29" spans="5:12" x14ac:dyDescent="0.35">
      <c r="E29" s="27"/>
      <c r="F29" s="21"/>
      <c r="G29" s="22"/>
      <c r="H29" s="23"/>
      <c r="I29" s="23"/>
      <c r="J29" s="23"/>
      <c r="K29" s="21"/>
      <c r="L29" s="21"/>
    </row>
    <row r="30" spans="5:12" x14ac:dyDescent="0.35">
      <c r="E30" s="27"/>
      <c r="F30" s="21"/>
      <c r="G30" s="22"/>
      <c r="H30" s="23"/>
      <c r="I30" s="23"/>
      <c r="J30" s="23"/>
      <c r="K30" s="21"/>
      <c r="L30" s="21"/>
    </row>
    <row r="31" spans="5:12" x14ac:dyDescent="0.35">
      <c r="E31" s="27"/>
      <c r="F31" s="21"/>
      <c r="G31" s="22"/>
      <c r="H31" s="23"/>
      <c r="I31" s="23"/>
      <c r="J31" s="23"/>
      <c r="K31" s="21"/>
      <c r="L31" s="21"/>
    </row>
    <row r="32" spans="5:12" x14ac:dyDescent="0.35">
      <c r="E32" s="27"/>
      <c r="F32" s="21"/>
      <c r="G32" s="22"/>
      <c r="H32" s="23"/>
      <c r="I32" s="23"/>
      <c r="J32" s="23"/>
      <c r="K32" s="21"/>
      <c r="L32" s="21"/>
    </row>
    <row r="33" spans="2:15" x14ac:dyDescent="0.35">
      <c r="B33" s="174"/>
      <c r="C33" s="175"/>
      <c r="F33" s="21"/>
      <c r="G33" s="22"/>
      <c r="H33" s="23"/>
      <c r="I33" s="23"/>
      <c r="J33" s="23"/>
      <c r="K33" s="21"/>
      <c r="L33" s="21"/>
    </row>
    <row r="34" spans="2:15" x14ac:dyDescent="0.35">
      <c r="C34" s="176"/>
      <c r="D34" s="20"/>
      <c r="F34" s="21"/>
      <c r="G34" s="22"/>
      <c r="H34" s="23"/>
      <c r="I34" s="23"/>
      <c r="J34" s="23"/>
      <c r="K34" s="21"/>
      <c r="L34" s="21"/>
    </row>
    <row r="35" spans="2:15" x14ac:dyDescent="0.35">
      <c r="C35" s="176"/>
      <c r="D35" s="20"/>
      <c r="F35" s="21"/>
      <c r="G35" s="22"/>
      <c r="H35" s="23"/>
      <c r="I35" s="23"/>
      <c r="J35" s="23"/>
      <c r="K35" s="21"/>
      <c r="L35" s="21"/>
    </row>
    <row r="36" spans="2:15" x14ac:dyDescent="0.35">
      <c r="C36" s="176"/>
      <c r="D36" s="20"/>
      <c r="F36" s="21"/>
      <c r="G36" s="22"/>
      <c r="H36" s="23"/>
      <c r="I36" s="23"/>
      <c r="J36" s="23"/>
      <c r="K36" s="21"/>
      <c r="L36" s="21"/>
    </row>
    <row r="37" spans="2:15" x14ac:dyDescent="0.35">
      <c r="C37" s="176"/>
      <c r="D37" s="20"/>
      <c r="F37" s="21"/>
      <c r="G37" s="22"/>
      <c r="H37" s="23"/>
      <c r="I37" s="23"/>
      <c r="J37" s="23"/>
      <c r="K37" s="21"/>
      <c r="L37" s="21"/>
    </row>
    <row r="38" spans="2:15" x14ac:dyDescent="0.35">
      <c r="C38" s="176"/>
      <c r="D38" s="20"/>
      <c r="F38" s="21"/>
      <c r="G38" s="22"/>
      <c r="H38" s="23"/>
      <c r="I38" s="23"/>
      <c r="J38" s="23"/>
      <c r="K38" s="21"/>
      <c r="L38" s="21"/>
    </row>
    <row r="39" spans="2:15" x14ac:dyDescent="0.35">
      <c r="C39" s="26"/>
      <c r="D39" s="20"/>
      <c r="F39" s="21"/>
      <c r="G39" s="22"/>
      <c r="H39" s="23"/>
      <c r="I39" s="23"/>
      <c r="J39" s="23"/>
      <c r="K39" s="21"/>
      <c r="L39" s="21"/>
    </row>
    <row r="40" spans="2:15" x14ac:dyDescent="0.35">
      <c r="C40" s="176"/>
      <c r="D40" s="134"/>
      <c r="F40" s="21"/>
      <c r="G40" s="22"/>
      <c r="H40" s="23"/>
      <c r="I40" s="23"/>
      <c r="J40" s="23"/>
      <c r="K40" s="21"/>
      <c r="L40" s="21"/>
    </row>
    <row r="41" spans="2:15" x14ac:dyDescent="0.35">
      <c r="C41" s="176"/>
      <c r="D41" s="134"/>
      <c r="F41" s="21"/>
      <c r="G41" s="22"/>
      <c r="H41" s="23"/>
      <c r="I41" s="23"/>
      <c r="J41" s="23"/>
      <c r="K41" s="21"/>
      <c r="L41" s="21"/>
    </row>
    <row r="42" spans="2:15" x14ac:dyDescent="0.35">
      <c r="C42" s="176"/>
      <c r="D42" s="134"/>
      <c r="F42" s="21"/>
      <c r="G42" s="22"/>
      <c r="H42" s="23"/>
      <c r="I42" s="23"/>
      <c r="J42" s="23"/>
      <c r="K42" s="21"/>
      <c r="L42" s="21"/>
    </row>
    <row r="43" spans="2:15" x14ac:dyDescent="0.35">
      <c r="C43" s="176"/>
      <c r="D43" s="134"/>
      <c r="F43" s="21"/>
      <c r="G43" s="22"/>
      <c r="H43" s="23"/>
      <c r="I43" s="23"/>
      <c r="J43" s="23"/>
      <c r="K43" s="21"/>
      <c r="L43" s="21"/>
    </row>
    <row r="44" spans="2:15" x14ac:dyDescent="0.35">
      <c r="C44" s="176"/>
      <c r="D44" s="134"/>
      <c r="F44" s="21"/>
      <c r="G44" s="22"/>
      <c r="H44" s="23"/>
      <c r="I44" s="23"/>
      <c r="J44" s="23"/>
      <c r="K44" s="21"/>
      <c r="L44" s="21"/>
    </row>
    <row r="45" spans="2:15" x14ac:dyDescent="0.35">
      <c r="F45" s="21"/>
      <c r="G45" s="22"/>
      <c r="H45" s="23"/>
      <c r="I45" s="23"/>
      <c r="J45" s="23"/>
      <c r="K45" s="21"/>
      <c r="L45" s="21"/>
    </row>
    <row r="46" spans="2:15" x14ac:dyDescent="0.35">
      <c r="C46" s="88"/>
      <c r="E46" s="27"/>
      <c r="F46" s="21"/>
      <c r="G46" s="22"/>
      <c r="H46" s="23"/>
      <c r="I46" s="23"/>
      <c r="J46" s="23"/>
      <c r="K46" s="21"/>
      <c r="L46" s="21"/>
    </row>
    <row r="47" spans="2:15" x14ac:dyDescent="0.35">
      <c r="E47" s="27"/>
      <c r="F47" s="21"/>
      <c r="G47" s="22"/>
      <c r="H47" s="23"/>
      <c r="I47" s="23"/>
      <c r="J47" s="23"/>
      <c r="K47" s="21"/>
      <c r="L47" s="21"/>
    </row>
    <row r="48" spans="2:15" x14ac:dyDescent="0.35">
      <c r="E48" s="27"/>
      <c r="F48" s="21"/>
      <c r="G48" s="22"/>
      <c r="H48" s="23"/>
      <c r="I48" s="23"/>
      <c r="J48" s="23"/>
      <c r="K48" s="21"/>
      <c r="L48" s="83"/>
      <c r="O48" s="23"/>
    </row>
    <row r="49" spans="2:15" x14ac:dyDescent="0.35">
      <c r="F49" s="21"/>
      <c r="G49" s="22"/>
      <c r="H49" s="23"/>
      <c r="I49" s="23"/>
      <c r="J49" s="23"/>
      <c r="K49" s="21"/>
      <c r="L49" s="83"/>
      <c r="O49" s="27"/>
    </row>
    <row r="50" spans="2:15" x14ac:dyDescent="0.35">
      <c r="F50" s="21"/>
      <c r="G50" s="22"/>
      <c r="H50" s="23"/>
      <c r="I50" s="23"/>
      <c r="J50" s="23"/>
      <c r="K50" s="21"/>
      <c r="L50" s="83"/>
      <c r="O50" s="184"/>
    </row>
    <row r="51" spans="2:15" x14ac:dyDescent="0.35">
      <c r="F51" s="21"/>
      <c r="G51" s="22"/>
      <c r="H51" s="23"/>
      <c r="I51" s="23"/>
      <c r="J51" s="23"/>
      <c r="K51" s="21"/>
      <c r="L51" s="83"/>
      <c r="O51" s="21"/>
    </row>
    <row r="52" spans="2:15" ht="16" thickBot="1" x14ac:dyDescent="0.4">
      <c r="C52" s="88" t="s">
        <v>13</v>
      </c>
      <c r="F52" s="21"/>
      <c r="G52" s="22"/>
      <c r="H52" s="23"/>
      <c r="I52" s="23"/>
      <c r="J52" s="23"/>
      <c r="K52" s="21"/>
      <c r="L52" s="83"/>
      <c r="O52" s="184"/>
    </row>
    <row r="53" spans="2:15" x14ac:dyDescent="0.35">
      <c r="B53" s="29" t="s">
        <v>586</v>
      </c>
      <c r="C53" s="89">
        <v>16</v>
      </c>
      <c r="D53" s="27" t="s">
        <v>938</v>
      </c>
      <c r="F53" s="21"/>
      <c r="G53" s="22"/>
      <c r="H53" s="23"/>
      <c r="I53" s="23"/>
      <c r="J53" s="23"/>
      <c r="K53" s="21"/>
      <c r="L53" s="83"/>
      <c r="O53" s="27"/>
    </row>
    <row r="54" spans="2:15" x14ac:dyDescent="0.35">
      <c r="B54" s="29" t="s">
        <v>603</v>
      </c>
      <c r="C54" s="135">
        <v>400</v>
      </c>
      <c r="D54" s="27" t="s">
        <v>8</v>
      </c>
      <c r="F54" s="21"/>
      <c r="G54" s="22"/>
      <c r="H54" s="23"/>
      <c r="I54" s="23"/>
      <c r="J54" s="23"/>
      <c r="K54" s="21"/>
      <c r="L54" s="83"/>
      <c r="O54" s="27"/>
    </row>
    <row r="55" spans="2:15" x14ac:dyDescent="0.35">
      <c r="B55" s="29" t="s">
        <v>587</v>
      </c>
      <c r="C55" s="135">
        <v>20</v>
      </c>
      <c r="D55" s="27" t="s">
        <v>406</v>
      </c>
      <c r="F55" s="21"/>
      <c r="G55" s="22"/>
      <c r="H55" s="23"/>
      <c r="I55" s="23"/>
      <c r="J55" s="23"/>
      <c r="K55" s="21"/>
      <c r="L55" s="83"/>
      <c r="O55" s="27"/>
    </row>
    <row r="56" spans="2:15" x14ac:dyDescent="0.35">
      <c r="B56" s="29" t="s">
        <v>590</v>
      </c>
      <c r="C56" s="135">
        <v>100</v>
      </c>
      <c r="D56" s="27" t="s">
        <v>593</v>
      </c>
      <c r="F56" s="21"/>
      <c r="G56" s="22"/>
      <c r="H56" s="23"/>
      <c r="I56" s="23"/>
      <c r="J56" s="23"/>
      <c r="K56" s="21"/>
      <c r="L56" s="83"/>
      <c r="O56" s="27"/>
    </row>
    <row r="57" spans="2:15" x14ac:dyDescent="0.35">
      <c r="B57" s="29" t="s">
        <v>591</v>
      </c>
      <c r="C57" s="135">
        <v>50</v>
      </c>
      <c r="D57" s="27" t="s">
        <v>593</v>
      </c>
      <c r="O57" s="27"/>
    </row>
    <row r="58" spans="2:15" ht="16" thickBot="1" x14ac:dyDescent="0.4">
      <c r="B58" s="29" t="s">
        <v>592</v>
      </c>
      <c r="C58" s="91">
        <v>30</v>
      </c>
      <c r="D58" s="27" t="s">
        <v>593</v>
      </c>
      <c r="E58" s="21"/>
      <c r="F58" s="27"/>
      <c r="G58" s="21"/>
      <c r="H58" s="22"/>
      <c r="I58" s="23"/>
      <c r="O58" s="27"/>
    </row>
    <row r="59" spans="2:15" ht="16" thickBot="1" x14ac:dyDescent="0.4">
      <c r="C59" s="88" t="s">
        <v>3</v>
      </c>
      <c r="E59" s="4"/>
      <c r="F59" s="27"/>
      <c r="G59" s="36"/>
      <c r="H59" s="4"/>
      <c r="I59" s="23"/>
      <c r="O59" s="27"/>
    </row>
    <row r="60" spans="2:15" ht="16" thickBot="1" x14ac:dyDescent="0.4">
      <c r="B60" s="86" t="s">
        <v>585</v>
      </c>
      <c r="C60" s="4">
        <v>100</v>
      </c>
      <c r="D60" s="4" t="s">
        <v>597</v>
      </c>
      <c r="E60" s="27"/>
      <c r="F60" s="182" t="s">
        <v>951</v>
      </c>
      <c r="G60" s="179"/>
      <c r="H60" s="180"/>
      <c r="I60" s="23"/>
      <c r="O60" s="27"/>
    </row>
    <row r="61" spans="2:15" ht="16" thickBot="1" x14ac:dyDescent="0.4">
      <c r="B61" s="107" t="s">
        <v>4</v>
      </c>
      <c r="C61" s="4" t="s">
        <v>598</v>
      </c>
      <c r="D61" s="4"/>
      <c r="E61" s="27"/>
      <c r="F61" s="27"/>
      <c r="G61" s="36"/>
      <c r="H61" s="29"/>
      <c r="I61" s="23"/>
      <c r="O61" s="27"/>
    </row>
    <row r="62" spans="2:15" ht="16" thickBot="1" x14ac:dyDescent="0.4">
      <c r="B62" s="86" t="s">
        <v>4</v>
      </c>
      <c r="C62" s="136">
        <f>C60*1000</f>
        <v>100000</v>
      </c>
      <c r="D62" s="4" t="s">
        <v>78</v>
      </c>
      <c r="E62" s="27"/>
      <c r="F62" s="182" t="s">
        <v>951</v>
      </c>
      <c r="G62" s="179"/>
      <c r="H62" s="180"/>
      <c r="I62" s="23"/>
      <c r="O62" s="27"/>
    </row>
    <row r="63" spans="2:15" x14ac:dyDescent="0.35">
      <c r="B63" s="86" t="s">
        <v>590</v>
      </c>
      <c r="C63" s="94">
        <f>C56/1000</f>
        <v>0.1</v>
      </c>
      <c r="D63" s="4" t="s">
        <v>594</v>
      </c>
      <c r="F63" s="29"/>
      <c r="G63" s="27"/>
      <c r="H63" s="23"/>
      <c r="I63" s="23"/>
      <c r="O63" s="27"/>
    </row>
    <row r="64" spans="2:15" x14ac:dyDescent="0.35">
      <c r="B64" s="86" t="s">
        <v>589</v>
      </c>
      <c r="C64" s="4" t="s">
        <v>661</v>
      </c>
      <c r="D64" s="4"/>
      <c r="F64" s="29"/>
      <c r="G64" s="27"/>
      <c r="H64" s="23"/>
      <c r="I64" s="23"/>
      <c r="O64" s="27"/>
    </row>
    <row r="65" spans="2:15" x14ac:dyDescent="0.35">
      <c r="B65" s="86" t="s">
        <v>4</v>
      </c>
      <c r="C65" s="4">
        <f>3.1416*(C63^2)/4</f>
        <v>7.8540000000000016E-3</v>
      </c>
      <c r="D65" s="4" t="s">
        <v>595</v>
      </c>
      <c r="F65" s="29"/>
      <c r="G65" s="27"/>
      <c r="H65" s="23"/>
      <c r="I65" s="23"/>
      <c r="O65" s="27"/>
    </row>
    <row r="66" spans="2:15" x14ac:dyDescent="0.35">
      <c r="B66" s="86" t="s">
        <v>601</v>
      </c>
      <c r="C66" s="4" t="s">
        <v>596</v>
      </c>
      <c r="D66" s="4"/>
      <c r="F66" s="29"/>
      <c r="G66" s="27"/>
      <c r="H66" s="23"/>
      <c r="I66" s="23"/>
      <c r="O66" s="27"/>
    </row>
    <row r="67" spans="2:15" x14ac:dyDescent="0.35">
      <c r="B67" s="86" t="s">
        <v>4</v>
      </c>
      <c r="C67" s="4">
        <f>C53*9.81</f>
        <v>156.96</v>
      </c>
      <c r="D67" s="4" t="s">
        <v>27</v>
      </c>
      <c r="F67" s="29"/>
      <c r="G67" s="27"/>
      <c r="H67" s="23"/>
      <c r="I67" s="23"/>
      <c r="O67" s="27"/>
    </row>
    <row r="68" spans="2:15" x14ac:dyDescent="0.35">
      <c r="B68" s="86" t="s">
        <v>588</v>
      </c>
      <c r="C68" s="4" t="s">
        <v>602</v>
      </c>
      <c r="D68" s="4"/>
      <c r="F68" s="29"/>
      <c r="G68" s="27"/>
      <c r="H68" s="23"/>
      <c r="I68" s="23"/>
      <c r="O68" s="27"/>
    </row>
    <row r="69" spans="2:15" x14ac:dyDescent="0.35">
      <c r="B69" s="86" t="s">
        <v>599</v>
      </c>
      <c r="C69" s="4" t="s">
        <v>843</v>
      </c>
      <c r="D69" s="4"/>
      <c r="F69" s="29"/>
      <c r="G69" s="27"/>
      <c r="H69" s="23"/>
      <c r="I69" s="23"/>
      <c r="O69" s="27"/>
    </row>
    <row r="70" spans="2:15" x14ac:dyDescent="0.35">
      <c r="B70" s="86" t="s">
        <v>600</v>
      </c>
      <c r="C70" s="137">
        <f>(C62 + C67 / C65)/1000000</f>
        <v>0.11998472116119174</v>
      </c>
      <c r="D70" s="4" t="s">
        <v>944</v>
      </c>
      <c r="F70" s="29"/>
      <c r="G70" s="20"/>
      <c r="I70" s="23"/>
      <c r="O70" s="27"/>
    </row>
    <row r="71" spans="2:15" x14ac:dyDescent="0.35">
      <c r="B71" s="29" t="s">
        <v>4</v>
      </c>
      <c r="C71" s="138">
        <f>C70*1000</f>
        <v>119.98472116119174</v>
      </c>
      <c r="D71" s="4" t="s">
        <v>28</v>
      </c>
      <c r="F71" s="29"/>
      <c r="G71" s="20"/>
      <c r="I71" s="23"/>
      <c r="O71" s="27"/>
    </row>
    <row r="72" spans="2:15" x14ac:dyDescent="0.35">
      <c r="F72" s="29"/>
      <c r="G72" s="20"/>
      <c r="I72" s="23"/>
      <c r="L72" s="20"/>
    </row>
    <row r="73" spans="2:15" ht="18" x14ac:dyDescent="0.4">
      <c r="B73" s="44" t="s">
        <v>842</v>
      </c>
      <c r="F73" s="29"/>
      <c r="G73" s="20"/>
      <c r="I73" s="23"/>
      <c r="L73" s="20"/>
    </row>
    <row r="74" spans="2:15" x14ac:dyDescent="0.35">
      <c r="D74" s="21"/>
      <c r="F74" s="29"/>
      <c r="G74" s="20"/>
      <c r="I74" s="23"/>
      <c r="L74" s="20"/>
    </row>
    <row r="75" spans="2:15" ht="18" x14ac:dyDescent="0.4">
      <c r="B75" s="44" t="s">
        <v>784</v>
      </c>
      <c r="C75" s="86"/>
      <c r="D75" s="4"/>
      <c r="F75" s="29"/>
      <c r="G75" s="20"/>
      <c r="H75" s="29"/>
      <c r="I75" s="23"/>
      <c r="L75" s="20"/>
    </row>
    <row r="76" spans="2:15" x14ac:dyDescent="0.35">
      <c r="D76" s="21"/>
      <c r="F76" s="29"/>
      <c r="G76" s="20"/>
      <c r="H76" s="29"/>
      <c r="I76" s="23"/>
      <c r="L76" s="20"/>
    </row>
    <row r="77" spans="2:15" ht="18" x14ac:dyDescent="0.4">
      <c r="B77" s="44" t="s">
        <v>939</v>
      </c>
      <c r="F77" s="29"/>
      <c r="G77" s="20"/>
      <c r="H77" s="29"/>
      <c r="L77" s="20"/>
    </row>
    <row r="78" spans="2:15" ht="17.5" x14ac:dyDescent="0.35">
      <c r="B78" s="18"/>
      <c r="F78" s="29"/>
      <c r="G78" s="20"/>
      <c r="H78" s="29"/>
      <c r="J78" s="33"/>
      <c r="L78" s="20"/>
    </row>
    <row r="79" spans="2:15" ht="18" x14ac:dyDescent="0.4">
      <c r="B79" s="44" t="s">
        <v>940</v>
      </c>
      <c r="F79" s="29"/>
      <c r="G79" s="20"/>
      <c r="H79" s="29"/>
      <c r="I79" s="23"/>
      <c r="J79" s="20"/>
      <c r="L79" s="20"/>
    </row>
    <row r="80" spans="2:15" ht="17.5" x14ac:dyDescent="0.35">
      <c r="B80" s="18"/>
      <c r="F80" s="29"/>
      <c r="G80" s="20"/>
      <c r="H80" s="29"/>
      <c r="I80" s="33"/>
      <c r="L80" s="20"/>
    </row>
    <row r="81" spans="2:14" ht="18" x14ac:dyDescent="0.4">
      <c r="B81" s="44" t="s">
        <v>941</v>
      </c>
      <c r="H81" s="23"/>
      <c r="I81" s="21"/>
      <c r="J81" s="21"/>
      <c r="L81" s="20"/>
    </row>
    <row r="82" spans="2:14" x14ac:dyDescent="0.35">
      <c r="H82" s="23"/>
      <c r="I82" s="21"/>
      <c r="J82" s="21"/>
      <c r="L82" s="20"/>
    </row>
    <row r="83" spans="2:14" ht="18" x14ac:dyDescent="0.4">
      <c r="B83" s="44" t="s">
        <v>942</v>
      </c>
      <c r="G83" s="151"/>
      <c r="H83" s="177"/>
      <c r="I83" s="185"/>
      <c r="J83" s="184"/>
      <c r="K83" s="184"/>
      <c r="L83" s="36"/>
      <c r="M83" s="151"/>
      <c r="N83" s="190"/>
    </row>
    <row r="84" spans="2:14" ht="18" thickBot="1" x14ac:dyDescent="0.4">
      <c r="B84" s="18"/>
      <c r="F84" s="21"/>
      <c r="G84" s="139"/>
      <c r="H84" s="23"/>
      <c r="I84" s="21"/>
      <c r="J84" s="21"/>
      <c r="L84" s="20"/>
    </row>
    <row r="85" spans="2:14" ht="18.5" thickBot="1" x14ac:dyDescent="0.45">
      <c r="B85" s="44" t="s">
        <v>943</v>
      </c>
      <c r="F85" s="21"/>
      <c r="G85" s="22"/>
      <c r="H85" s="178" t="s">
        <v>937</v>
      </c>
      <c r="I85" s="49"/>
      <c r="J85" s="49"/>
      <c r="K85" s="49"/>
      <c r="L85" s="49"/>
      <c r="M85" s="181"/>
    </row>
    <row r="86" spans="2:14" x14ac:dyDescent="0.35">
      <c r="F86" s="21"/>
      <c r="G86" s="22"/>
      <c r="H86" s="23"/>
      <c r="I86" s="21"/>
      <c r="J86" s="21"/>
      <c r="L86" s="20"/>
    </row>
    <row r="87" spans="2:14" x14ac:dyDescent="0.35">
      <c r="F87" s="21"/>
      <c r="G87" s="22"/>
      <c r="H87" s="99"/>
      <c r="I87" s="21"/>
      <c r="J87" s="21"/>
      <c r="L87" s="20"/>
    </row>
    <row r="88" spans="2:14" x14ac:dyDescent="0.35">
      <c r="F88" s="21"/>
      <c r="G88" s="22"/>
      <c r="H88" s="13"/>
      <c r="I88" s="21"/>
      <c r="J88" s="21"/>
      <c r="L88" s="20"/>
    </row>
    <row r="89" spans="2:14" x14ac:dyDescent="0.35">
      <c r="F89" s="21"/>
      <c r="G89" s="22"/>
      <c r="H89" s="21"/>
      <c r="J89" s="140"/>
      <c r="K89" s="21"/>
      <c r="L89" s="21"/>
      <c r="M89" s="20"/>
      <c r="N89" s="20"/>
    </row>
    <row r="90" spans="2:14" x14ac:dyDescent="0.35">
      <c r="F90" s="21"/>
      <c r="G90" s="22"/>
      <c r="H90" s="20"/>
      <c r="I90" s="29"/>
      <c r="K90" s="47"/>
      <c r="L90" s="21"/>
      <c r="M90" s="20"/>
      <c r="N90" s="20"/>
    </row>
    <row r="91" spans="2:14" x14ac:dyDescent="0.35">
      <c r="F91" s="21"/>
      <c r="G91" s="22"/>
      <c r="H91" s="13"/>
      <c r="I91" s="21"/>
      <c r="J91" s="21"/>
      <c r="L91" s="20"/>
    </row>
    <row r="92" spans="2:14" x14ac:dyDescent="0.35">
      <c r="F92" s="21"/>
      <c r="G92" s="22"/>
    </row>
    <row r="93" spans="2:14" x14ac:dyDescent="0.35">
      <c r="F93" s="21"/>
      <c r="G93" s="22"/>
    </row>
    <row r="94" spans="2:14" x14ac:dyDescent="0.35">
      <c r="F94" s="21"/>
      <c r="G94" s="22"/>
      <c r="I94" s="21"/>
      <c r="J94" s="21"/>
      <c r="L94" s="20"/>
    </row>
    <row r="95" spans="2:14" x14ac:dyDescent="0.35">
      <c r="F95" s="21"/>
      <c r="G95" s="14"/>
      <c r="I95" s="47"/>
      <c r="J95" s="21"/>
      <c r="L95" s="20"/>
    </row>
    <row r="96" spans="2:14" x14ac:dyDescent="0.35">
      <c r="F96" s="21"/>
      <c r="G96" s="14"/>
      <c r="H96" s="140"/>
      <c r="I96" s="47"/>
      <c r="J96" s="21"/>
      <c r="L96" s="20"/>
    </row>
    <row r="97" spans="2:17" x14ac:dyDescent="0.35">
      <c r="F97" s="21"/>
      <c r="G97" s="13"/>
      <c r="H97" s="13"/>
      <c r="I97" s="47"/>
      <c r="J97" s="99"/>
      <c r="L97" s="20"/>
    </row>
    <row r="98" spans="2:17" x14ac:dyDescent="0.35">
      <c r="F98" s="21"/>
      <c r="G98" s="14"/>
      <c r="H98" s="140"/>
      <c r="I98" s="21"/>
      <c r="J98" s="21"/>
      <c r="L98" s="20"/>
    </row>
    <row r="99" spans="2:17" x14ac:dyDescent="0.35">
      <c r="H99" s="13"/>
      <c r="I99" s="14"/>
      <c r="J99" s="23"/>
      <c r="L99" s="20"/>
    </row>
    <row r="100" spans="2:17" x14ac:dyDescent="0.35">
      <c r="H100" s="140"/>
      <c r="I100" s="21"/>
      <c r="J100" s="21"/>
      <c r="L100" s="20"/>
    </row>
    <row r="101" spans="2:17" x14ac:dyDescent="0.35">
      <c r="H101" s="13"/>
      <c r="I101" s="47"/>
      <c r="J101" s="21"/>
      <c r="L101" s="20"/>
    </row>
    <row r="102" spans="2:17" x14ac:dyDescent="0.35">
      <c r="H102" s="141"/>
      <c r="I102" s="20"/>
      <c r="J102" s="20"/>
      <c r="L102" s="20"/>
    </row>
    <row r="103" spans="2:17" x14ac:dyDescent="0.35">
      <c r="G103" s="14"/>
      <c r="H103" s="140"/>
      <c r="I103" s="13"/>
      <c r="J103" s="2"/>
      <c r="L103" s="20"/>
    </row>
    <row r="104" spans="2:17" x14ac:dyDescent="0.35">
      <c r="G104" s="14"/>
      <c r="H104" s="23"/>
      <c r="I104" s="20"/>
      <c r="J104" s="20"/>
      <c r="L104" s="20"/>
    </row>
    <row r="105" spans="2:17" x14ac:dyDescent="0.35">
      <c r="G105" s="14"/>
      <c r="I105" s="23"/>
      <c r="L105" s="20"/>
    </row>
    <row r="106" spans="2:17" x14ac:dyDescent="0.35">
      <c r="G106" s="14"/>
      <c r="H106" s="13"/>
      <c r="I106" s="23"/>
      <c r="L106" s="20"/>
      <c r="Q106" s="25"/>
    </row>
    <row r="107" spans="2:17" x14ac:dyDescent="0.35">
      <c r="I107" s="23"/>
      <c r="L107" s="20"/>
      <c r="Q107" s="25"/>
    </row>
    <row r="108" spans="2:17" x14ac:dyDescent="0.35">
      <c r="H108" s="23"/>
      <c r="I108" s="23"/>
      <c r="L108" s="20"/>
    </row>
    <row r="109" spans="2:17" x14ac:dyDescent="0.35">
      <c r="G109" s="14"/>
      <c r="H109" s="23"/>
      <c r="I109" s="23"/>
      <c r="L109" s="20"/>
    </row>
    <row r="110" spans="2:17" x14ac:dyDescent="0.35">
      <c r="B110" s="4"/>
      <c r="F110" s="21"/>
      <c r="G110" s="114"/>
      <c r="H110" s="23"/>
      <c r="I110" s="23"/>
      <c r="L110" s="20"/>
    </row>
    <row r="111" spans="2:17" x14ac:dyDescent="0.35">
      <c r="D111" s="4"/>
      <c r="F111" s="21"/>
      <c r="G111" s="23"/>
      <c r="H111" s="23"/>
      <c r="I111" s="23"/>
      <c r="L111" s="20"/>
    </row>
    <row r="112" spans="2:17" ht="18" x14ac:dyDescent="0.4">
      <c r="B112" s="44"/>
      <c r="C112" s="37"/>
      <c r="D112" s="37"/>
      <c r="E112" s="133"/>
      <c r="F112" s="146"/>
      <c r="G112" s="22"/>
      <c r="H112" s="147"/>
      <c r="I112" s="23"/>
    </row>
    <row r="113" spans="2:21" x14ac:dyDescent="0.35">
      <c r="D113" s="20"/>
      <c r="F113" s="21"/>
      <c r="G113" s="22"/>
      <c r="H113" s="23"/>
      <c r="I113" s="13"/>
    </row>
    <row r="114" spans="2:21" x14ac:dyDescent="0.35">
      <c r="D114" s="20"/>
      <c r="F114" s="21"/>
      <c r="G114" s="22"/>
      <c r="H114" s="147"/>
      <c r="I114" s="23"/>
    </row>
    <row r="115" spans="2:21" ht="18" x14ac:dyDescent="0.4">
      <c r="B115" s="19" t="s">
        <v>945</v>
      </c>
      <c r="D115" s="20"/>
      <c r="F115" s="21"/>
      <c r="G115" s="13"/>
      <c r="H115" s="99"/>
      <c r="I115" s="23"/>
    </row>
    <row r="116" spans="2:21" x14ac:dyDescent="0.35">
      <c r="D116" s="20"/>
      <c r="F116" s="21"/>
      <c r="G116" s="22"/>
      <c r="H116" s="144"/>
      <c r="I116" s="23"/>
    </row>
    <row r="117" spans="2:21" x14ac:dyDescent="0.35">
      <c r="D117" s="20"/>
      <c r="F117" s="21"/>
      <c r="G117" s="22"/>
      <c r="H117" s="145"/>
      <c r="I117" s="23"/>
    </row>
    <row r="118" spans="2:21" x14ac:dyDescent="0.35">
      <c r="D118" s="20"/>
      <c r="F118" s="21"/>
      <c r="G118" s="22"/>
      <c r="H118" s="145"/>
      <c r="I118" s="23"/>
    </row>
    <row r="119" spans="2:21" x14ac:dyDescent="0.35">
      <c r="D119" s="20"/>
      <c r="F119" s="21"/>
      <c r="G119" s="22"/>
      <c r="H119" s="144"/>
      <c r="I119" s="23"/>
      <c r="R119" s="86"/>
      <c r="S119" s="25"/>
      <c r="T119" s="25"/>
      <c r="U119" s="25"/>
    </row>
    <row r="120" spans="2:21" x14ac:dyDescent="0.35">
      <c r="D120" s="20"/>
      <c r="F120" s="21"/>
      <c r="G120" s="22"/>
      <c r="H120" s="99"/>
      <c r="I120" s="23"/>
      <c r="R120" s="86"/>
      <c r="S120" s="25"/>
      <c r="T120" s="25"/>
      <c r="U120" s="25"/>
    </row>
    <row r="121" spans="2:21" x14ac:dyDescent="0.35">
      <c r="D121" s="20"/>
      <c r="F121" s="21"/>
      <c r="G121" s="22"/>
      <c r="H121" s="23"/>
      <c r="I121" s="23"/>
    </row>
    <row r="122" spans="2:21" x14ac:dyDescent="0.35">
      <c r="D122" s="20"/>
      <c r="F122" s="21"/>
      <c r="G122" s="22"/>
      <c r="H122" s="147"/>
      <c r="I122" s="23"/>
      <c r="S122" s="25"/>
      <c r="T122" s="25"/>
      <c r="U122" s="25"/>
    </row>
    <row r="123" spans="2:21" x14ac:dyDescent="0.35">
      <c r="D123" s="20"/>
      <c r="F123" s="21"/>
      <c r="G123" s="22"/>
      <c r="H123" s="23"/>
      <c r="I123" s="13"/>
      <c r="S123" s="25"/>
      <c r="T123" s="25"/>
      <c r="U123" s="142"/>
    </row>
    <row r="124" spans="2:21" x14ac:dyDescent="0.35">
      <c r="D124" s="20"/>
      <c r="F124" s="21"/>
      <c r="G124" s="22"/>
      <c r="H124" s="102"/>
      <c r="I124" s="23"/>
    </row>
    <row r="125" spans="2:21" x14ac:dyDescent="0.35">
      <c r="D125" s="20"/>
      <c r="F125" s="21"/>
      <c r="G125" s="22"/>
      <c r="H125" s="23"/>
      <c r="I125" s="13"/>
    </row>
    <row r="126" spans="2:21" x14ac:dyDescent="0.35">
      <c r="D126" s="20"/>
      <c r="F126" s="21"/>
      <c r="G126" s="14"/>
      <c r="H126" s="100"/>
      <c r="I126" s="23"/>
    </row>
    <row r="127" spans="2:21" x14ac:dyDescent="0.35">
      <c r="D127" s="20"/>
      <c r="F127" s="21"/>
      <c r="G127" s="22"/>
      <c r="H127" s="23"/>
      <c r="I127" s="23"/>
    </row>
    <row r="128" spans="2:21" ht="20" x14ac:dyDescent="0.4">
      <c r="B128" s="46"/>
      <c r="D128" s="20"/>
      <c r="F128" s="21"/>
      <c r="G128" s="14"/>
      <c r="H128" s="148"/>
      <c r="I128" s="23"/>
    </row>
    <row r="129" spans="2:11" x14ac:dyDescent="0.35">
      <c r="F129" s="21"/>
      <c r="G129" s="22"/>
      <c r="H129" s="23"/>
      <c r="I129" s="23"/>
    </row>
    <row r="130" spans="2:11" ht="18" x14ac:dyDescent="0.4">
      <c r="B130" s="44"/>
      <c r="F130" s="21"/>
      <c r="G130" s="22"/>
      <c r="H130" s="23"/>
      <c r="I130" s="23"/>
      <c r="J130" s="26"/>
    </row>
    <row r="131" spans="2:11" x14ac:dyDescent="0.35">
      <c r="C131" s="88"/>
      <c r="D131" s="20"/>
      <c r="F131" s="21"/>
      <c r="G131" s="22"/>
      <c r="H131" s="23"/>
      <c r="I131" s="23"/>
      <c r="J131" s="26"/>
      <c r="K131" s="150"/>
    </row>
    <row r="132" spans="2:11" x14ac:dyDescent="0.35">
      <c r="C132" s="144"/>
      <c r="D132" s="20"/>
      <c r="F132" s="21"/>
      <c r="G132" s="22"/>
      <c r="H132" s="23"/>
      <c r="I132" s="23"/>
      <c r="J132" s="26"/>
    </row>
    <row r="133" spans="2:11" x14ac:dyDescent="0.35">
      <c r="C133" s="144"/>
      <c r="D133" s="20"/>
      <c r="F133" s="21"/>
      <c r="G133" s="22"/>
      <c r="H133" s="23"/>
      <c r="I133" s="23"/>
    </row>
    <row r="134" spans="2:11" x14ac:dyDescent="0.35">
      <c r="C134" s="144"/>
      <c r="D134" s="20"/>
      <c r="F134" s="21"/>
      <c r="G134" s="22"/>
      <c r="H134" s="23"/>
      <c r="I134" s="23"/>
    </row>
    <row r="135" spans="2:11" x14ac:dyDescent="0.35">
      <c r="C135" s="139"/>
      <c r="D135" s="20"/>
      <c r="F135" s="21"/>
      <c r="G135" s="22"/>
      <c r="H135" s="23"/>
      <c r="I135" s="23"/>
    </row>
    <row r="136" spans="2:11" x14ac:dyDescent="0.35">
      <c r="C136" s="139"/>
      <c r="D136" s="20"/>
      <c r="F136" s="21"/>
      <c r="G136" s="22"/>
      <c r="H136" s="23"/>
      <c r="I136" s="23"/>
    </row>
    <row r="137" spans="2:11" x14ac:dyDescent="0.35">
      <c r="C137" s="144"/>
      <c r="D137" s="20"/>
      <c r="F137" s="21"/>
      <c r="G137" s="22"/>
      <c r="H137" s="23"/>
      <c r="I137" s="23"/>
    </row>
    <row r="138" spans="2:11" x14ac:dyDescent="0.35">
      <c r="C138" s="144"/>
      <c r="D138" s="20"/>
      <c r="F138" s="21"/>
      <c r="G138" s="22"/>
      <c r="H138" s="23"/>
      <c r="I138" s="23"/>
    </row>
    <row r="139" spans="2:11" x14ac:dyDescent="0.35">
      <c r="C139" s="144"/>
      <c r="D139" s="20"/>
      <c r="F139" s="21"/>
      <c r="G139" s="22"/>
      <c r="H139" s="23"/>
      <c r="I139" s="23"/>
    </row>
    <row r="140" spans="2:11" x14ac:dyDescent="0.35">
      <c r="C140" s="139"/>
      <c r="D140" s="20"/>
      <c r="F140" s="21"/>
      <c r="G140" s="22"/>
      <c r="H140" s="23"/>
      <c r="I140" s="23"/>
    </row>
    <row r="141" spans="2:11" x14ac:dyDescent="0.35">
      <c r="C141" s="144"/>
      <c r="D141" s="20"/>
      <c r="F141" s="21"/>
      <c r="G141" s="22"/>
      <c r="H141" s="23"/>
      <c r="I141" s="23"/>
    </row>
    <row r="142" spans="2:11" x14ac:dyDescent="0.35">
      <c r="C142" s="144"/>
      <c r="D142" s="20"/>
      <c r="F142" s="21"/>
      <c r="G142" s="22"/>
      <c r="H142" s="23"/>
      <c r="I142" s="23"/>
    </row>
    <row r="143" spans="2:11" x14ac:dyDescent="0.35">
      <c r="C143" s="144"/>
      <c r="D143" s="20"/>
      <c r="F143" s="23"/>
      <c r="G143" s="22"/>
      <c r="H143" s="23"/>
      <c r="I143" s="23"/>
    </row>
    <row r="144" spans="2:11" x14ac:dyDescent="0.35">
      <c r="C144" s="144"/>
      <c r="D144" s="20"/>
      <c r="E144" s="2"/>
      <c r="H144" s="23"/>
      <c r="I144" s="23"/>
    </row>
    <row r="145" spans="2:9" x14ac:dyDescent="0.35">
      <c r="B145" s="4"/>
      <c r="E145" s="27"/>
      <c r="F145" s="23"/>
      <c r="G145" s="22"/>
      <c r="H145" s="23"/>
      <c r="I145" s="23"/>
    </row>
    <row r="146" spans="2:9" ht="18" x14ac:dyDescent="0.4">
      <c r="B146" s="44"/>
      <c r="D146" s="20"/>
      <c r="F146" s="21"/>
      <c r="G146" s="22"/>
      <c r="H146" s="23"/>
      <c r="I146" s="23"/>
    </row>
    <row r="147" spans="2:9" ht="18" x14ac:dyDescent="0.4">
      <c r="B147" s="19" t="s">
        <v>946</v>
      </c>
      <c r="C147" s="88"/>
      <c r="D147" s="20"/>
      <c r="F147" s="21"/>
      <c r="G147" s="22"/>
      <c r="H147" s="23"/>
      <c r="I147" s="23"/>
    </row>
    <row r="148" spans="2:9" x14ac:dyDescent="0.35">
      <c r="B148" s="86"/>
      <c r="C148" s="4"/>
      <c r="D148" s="20"/>
      <c r="F148" s="21"/>
      <c r="G148" s="22"/>
      <c r="H148" s="23"/>
      <c r="I148" s="23"/>
    </row>
    <row r="149" spans="2:9" x14ac:dyDescent="0.35">
      <c r="B149" s="86"/>
      <c r="C149" s="137"/>
      <c r="D149" s="20"/>
      <c r="F149" s="21"/>
      <c r="G149" s="22"/>
      <c r="H149" s="23"/>
      <c r="I149" s="23"/>
    </row>
    <row r="150" spans="2:9" x14ac:dyDescent="0.35">
      <c r="B150" s="86"/>
      <c r="C150" s="137"/>
      <c r="D150" s="20"/>
      <c r="F150" s="21"/>
      <c r="G150" s="22"/>
      <c r="H150" s="23"/>
      <c r="I150" s="23"/>
    </row>
    <row r="151" spans="2:9" x14ac:dyDescent="0.35">
      <c r="B151" s="86"/>
      <c r="C151" s="4"/>
      <c r="D151" s="20"/>
      <c r="F151" s="21"/>
      <c r="G151" s="22"/>
      <c r="H151" s="23"/>
      <c r="I151" s="23"/>
    </row>
    <row r="152" spans="2:9" x14ac:dyDescent="0.35">
      <c r="B152" s="86"/>
      <c r="C152" s="137"/>
      <c r="D152" s="20"/>
      <c r="F152" s="21"/>
      <c r="G152" s="22"/>
      <c r="H152" s="23"/>
      <c r="I152" s="23"/>
    </row>
    <row r="153" spans="2:9" x14ac:dyDescent="0.35">
      <c r="B153" s="86"/>
      <c r="C153" s="137"/>
      <c r="D153" s="2"/>
      <c r="F153" s="21"/>
      <c r="G153" s="22"/>
      <c r="H153" s="23"/>
      <c r="I153" s="23"/>
    </row>
    <row r="154" spans="2:9" x14ac:dyDescent="0.35">
      <c r="B154" s="86"/>
      <c r="C154" s="4"/>
      <c r="D154" s="20"/>
      <c r="F154" s="21"/>
      <c r="G154" s="22"/>
      <c r="H154" s="23"/>
      <c r="I154" s="23"/>
    </row>
    <row r="155" spans="2:9" x14ac:dyDescent="0.35">
      <c r="B155" s="86"/>
      <c r="C155" s="137"/>
      <c r="D155" s="2"/>
      <c r="F155" s="21"/>
      <c r="G155" s="22"/>
      <c r="H155" s="23"/>
      <c r="I155" s="23"/>
    </row>
    <row r="156" spans="2:9" x14ac:dyDescent="0.35">
      <c r="B156" s="86"/>
      <c r="C156" s="4"/>
      <c r="D156" s="2"/>
      <c r="F156" s="21"/>
      <c r="G156" s="22"/>
      <c r="H156" s="23"/>
      <c r="I156" s="23"/>
    </row>
    <row r="157" spans="2:9" x14ac:dyDescent="0.35">
      <c r="B157" s="86"/>
      <c r="C157" s="137"/>
      <c r="D157" s="2"/>
      <c r="F157" s="21"/>
      <c r="G157" s="22"/>
      <c r="H157" s="23"/>
      <c r="I157" s="23"/>
    </row>
    <row r="158" spans="2:9" x14ac:dyDescent="0.35">
      <c r="B158" s="86"/>
      <c r="C158" s="4"/>
      <c r="D158" s="20"/>
      <c r="F158" s="21"/>
      <c r="G158" s="22"/>
      <c r="H158" s="23"/>
      <c r="I158" s="23"/>
    </row>
    <row r="159" spans="2:9" x14ac:dyDescent="0.35">
      <c r="B159" s="86"/>
      <c r="C159" s="4"/>
      <c r="D159" s="86"/>
      <c r="F159" s="21"/>
      <c r="G159" s="22"/>
      <c r="H159" s="23"/>
      <c r="I159" s="23"/>
    </row>
    <row r="160" spans="2:9" x14ac:dyDescent="0.35">
      <c r="B160" s="86"/>
      <c r="C160" s="137"/>
      <c r="D160" s="20"/>
      <c r="F160" s="21"/>
      <c r="G160" s="22"/>
      <c r="H160" s="23"/>
      <c r="I160" s="23"/>
    </row>
    <row r="161" spans="2:14" x14ac:dyDescent="0.35">
      <c r="C161" s="4"/>
      <c r="D161" s="2"/>
      <c r="F161" s="21"/>
      <c r="G161" s="22"/>
      <c r="H161" s="23"/>
      <c r="I161" s="23"/>
    </row>
    <row r="162" spans="2:14" x14ac:dyDescent="0.35">
      <c r="B162" s="86"/>
      <c r="C162" s="4"/>
      <c r="D162" s="20"/>
      <c r="F162" s="21"/>
      <c r="G162" s="22"/>
      <c r="H162" s="23"/>
      <c r="I162" s="23"/>
    </row>
    <row r="163" spans="2:14" x14ac:dyDescent="0.35">
      <c r="B163" s="86"/>
      <c r="C163" s="93"/>
      <c r="D163" s="2"/>
      <c r="F163" s="21"/>
      <c r="G163" s="22"/>
      <c r="H163" s="23"/>
      <c r="I163" s="23"/>
    </row>
    <row r="164" spans="2:14" ht="18" x14ac:dyDescent="0.4">
      <c r="B164" s="44"/>
      <c r="C164" s="4"/>
      <c r="D164" s="2"/>
      <c r="F164" s="21"/>
      <c r="G164" s="22"/>
      <c r="H164" s="23"/>
      <c r="I164" s="23"/>
    </row>
    <row r="165" spans="2:14" x14ac:dyDescent="0.35">
      <c r="B165" s="86"/>
      <c r="C165" s="4"/>
      <c r="D165" s="2"/>
      <c r="F165" s="21"/>
      <c r="G165" s="22"/>
      <c r="H165" s="23"/>
      <c r="I165" s="23"/>
    </row>
    <row r="166" spans="2:14" x14ac:dyDescent="0.35">
      <c r="B166" s="86"/>
      <c r="C166" s="4"/>
      <c r="D166" s="2"/>
      <c r="F166" s="21"/>
      <c r="G166" s="22"/>
      <c r="H166" s="23"/>
      <c r="I166" s="23"/>
    </row>
    <row r="167" spans="2:14" x14ac:dyDescent="0.35">
      <c r="B167" s="86"/>
      <c r="C167" s="4"/>
      <c r="D167" s="2"/>
      <c r="F167" s="21"/>
      <c r="G167" s="22"/>
      <c r="H167" s="23"/>
      <c r="I167" s="23"/>
    </row>
    <row r="168" spans="2:14" x14ac:dyDescent="0.35">
      <c r="C168" s="93"/>
      <c r="D168" s="2"/>
      <c r="F168" s="21"/>
      <c r="G168" s="22"/>
      <c r="H168" s="23"/>
      <c r="I168" s="23"/>
    </row>
    <row r="169" spans="2:14" x14ac:dyDescent="0.35">
      <c r="D169" s="20"/>
      <c r="F169" s="21"/>
      <c r="G169" s="22"/>
      <c r="H169" s="23"/>
      <c r="I169" s="23"/>
    </row>
    <row r="170" spans="2:14" x14ac:dyDescent="0.35">
      <c r="B170" s="4"/>
      <c r="D170" s="20"/>
      <c r="F170" s="21"/>
      <c r="G170" s="22"/>
      <c r="H170" s="23"/>
      <c r="I170" s="23"/>
    </row>
    <row r="171" spans="2:14" x14ac:dyDescent="0.35">
      <c r="B171" s="4"/>
      <c r="D171" s="20"/>
      <c r="F171" s="21"/>
      <c r="G171" s="22"/>
      <c r="H171" s="23"/>
      <c r="I171" s="23"/>
    </row>
    <row r="172" spans="2:14" x14ac:dyDescent="0.35">
      <c r="D172" s="20"/>
      <c r="F172" s="21"/>
      <c r="G172" s="22"/>
      <c r="H172" s="23"/>
      <c r="I172" s="23"/>
      <c r="N172" s="149"/>
    </row>
    <row r="173" spans="2:14" x14ac:dyDescent="0.35">
      <c r="D173" s="20"/>
      <c r="F173" s="21"/>
      <c r="G173" s="22"/>
      <c r="H173" s="23"/>
      <c r="I173" s="23"/>
    </row>
    <row r="178" spans="6:9" x14ac:dyDescent="0.35">
      <c r="F178" s="21"/>
      <c r="G178" s="22"/>
      <c r="H178" s="23"/>
      <c r="I178" s="23"/>
    </row>
    <row r="179" spans="6:9" x14ac:dyDescent="0.35">
      <c r="F179" s="21"/>
      <c r="G179" s="22"/>
      <c r="H179" s="23"/>
      <c r="I179" s="23"/>
    </row>
    <row r="180" spans="6:9" x14ac:dyDescent="0.35">
      <c r="F180" s="21"/>
      <c r="G180" s="22"/>
      <c r="H180" s="23"/>
      <c r="I180" s="23"/>
    </row>
    <row r="181" spans="6:9" x14ac:dyDescent="0.35">
      <c r="F181" s="21"/>
      <c r="G181" s="22"/>
      <c r="H181" s="23"/>
      <c r="I181" s="23"/>
    </row>
    <row r="182" spans="6:9" x14ac:dyDescent="0.35">
      <c r="F182" s="21"/>
      <c r="G182" s="22"/>
      <c r="H182" s="23"/>
      <c r="I182" s="23"/>
    </row>
    <row r="183" spans="6:9" x14ac:dyDescent="0.35">
      <c r="F183" s="21"/>
      <c r="G183" s="22"/>
      <c r="H183" s="23"/>
      <c r="I183" s="23"/>
    </row>
    <row r="184" spans="6:9" x14ac:dyDescent="0.35">
      <c r="F184" s="21"/>
      <c r="G184" s="22"/>
      <c r="H184" s="23"/>
      <c r="I184" s="23"/>
    </row>
    <row r="185" spans="6:9" x14ac:dyDescent="0.35">
      <c r="F185" s="21"/>
      <c r="G185" s="22"/>
      <c r="H185" s="23"/>
      <c r="I185" s="23"/>
    </row>
    <row r="186" spans="6:9" x14ac:dyDescent="0.35">
      <c r="F186" s="21"/>
      <c r="G186" s="22"/>
      <c r="H186" s="23"/>
      <c r="I186" s="23"/>
    </row>
    <row r="187" spans="6:9" x14ac:dyDescent="0.35">
      <c r="F187" s="21"/>
      <c r="G187" s="22"/>
      <c r="H187" s="23"/>
      <c r="I187" s="23"/>
    </row>
    <row r="188" spans="6:9" x14ac:dyDescent="0.35">
      <c r="F188" s="21"/>
      <c r="G188" s="22"/>
      <c r="H188" s="23"/>
      <c r="I188" s="23"/>
    </row>
    <row r="189" spans="6:9" x14ac:dyDescent="0.35">
      <c r="F189" s="21"/>
      <c r="G189" s="22"/>
      <c r="H189" s="23"/>
      <c r="I189" s="23"/>
    </row>
    <row r="190" spans="6:9" x14ac:dyDescent="0.35">
      <c r="F190" s="21"/>
      <c r="G190" s="22"/>
      <c r="H190" s="23"/>
      <c r="I190" s="23"/>
    </row>
    <row r="191" spans="6:9" x14ac:dyDescent="0.35">
      <c r="F191" s="21"/>
      <c r="G191" s="22"/>
      <c r="H191" s="23"/>
      <c r="I191" s="23"/>
    </row>
    <row r="192" spans="6:9" x14ac:dyDescent="0.35">
      <c r="F192" s="21"/>
      <c r="G192" s="22"/>
      <c r="H192" s="23"/>
      <c r="I192" s="23"/>
    </row>
    <row r="193" spans="6:9" x14ac:dyDescent="0.35">
      <c r="F193" s="21"/>
      <c r="G193" s="22"/>
      <c r="H193" s="23"/>
      <c r="I193" s="23"/>
    </row>
    <row r="194" spans="6:9" x14ac:dyDescent="0.35">
      <c r="F194" s="21"/>
      <c r="G194" s="22"/>
      <c r="H194" s="23"/>
      <c r="I194" s="23"/>
    </row>
    <row r="195" spans="6:9" x14ac:dyDescent="0.35">
      <c r="F195" s="21"/>
      <c r="G195" s="22"/>
      <c r="H195" s="23"/>
      <c r="I195" s="23"/>
    </row>
    <row r="196" spans="6:9" x14ac:dyDescent="0.35">
      <c r="F196" s="21"/>
      <c r="G196" s="22"/>
      <c r="H196" s="23"/>
      <c r="I196" s="23"/>
    </row>
    <row r="197" spans="6:9" x14ac:dyDescent="0.35">
      <c r="F197" s="21"/>
      <c r="G197" s="22"/>
      <c r="H197" s="23"/>
      <c r="I197" s="23"/>
    </row>
    <row r="198" spans="6:9" x14ac:dyDescent="0.35">
      <c r="F198" s="21"/>
      <c r="G198" s="22"/>
      <c r="H198" s="83"/>
      <c r="I198" s="23"/>
    </row>
    <row r="199" spans="6:9" x14ac:dyDescent="0.35">
      <c r="F199" s="21"/>
      <c r="G199" s="22"/>
      <c r="H199" s="83"/>
      <c r="I199" s="23"/>
    </row>
    <row r="200" spans="6:9" x14ac:dyDescent="0.35">
      <c r="F200" s="21"/>
      <c r="G200" s="22"/>
      <c r="H200" s="83"/>
      <c r="I200" s="23"/>
    </row>
    <row r="201" spans="6:9" x14ac:dyDescent="0.35">
      <c r="F201" s="21"/>
      <c r="G201" s="22"/>
      <c r="H201" s="83"/>
      <c r="I201" s="23"/>
    </row>
    <row r="202" spans="6:9" x14ac:dyDescent="0.35">
      <c r="F202" s="21"/>
      <c r="G202" s="22"/>
      <c r="H202" s="83"/>
      <c r="I202" s="23"/>
    </row>
    <row r="203" spans="6:9" x14ac:dyDescent="0.35">
      <c r="F203" s="21"/>
      <c r="G203" s="22"/>
      <c r="H203" s="83"/>
      <c r="I203" s="23"/>
    </row>
    <row r="204" spans="6:9" x14ac:dyDescent="0.35">
      <c r="F204" s="21"/>
      <c r="G204" s="22"/>
      <c r="H204" s="83"/>
      <c r="I204" s="23"/>
    </row>
    <row r="205" spans="6:9" x14ac:dyDescent="0.35">
      <c r="F205" s="21"/>
      <c r="G205" s="22"/>
      <c r="H205" s="83"/>
      <c r="I205" s="23"/>
    </row>
    <row r="206" spans="6:9" x14ac:dyDescent="0.35">
      <c r="F206" s="21"/>
      <c r="G206" s="22"/>
      <c r="H206" s="83"/>
      <c r="I206" s="23"/>
    </row>
    <row r="207" spans="6:9" x14ac:dyDescent="0.35">
      <c r="F207" s="21"/>
      <c r="G207" s="22"/>
      <c r="H207" s="83"/>
      <c r="I207" s="23"/>
    </row>
    <row r="208" spans="6:9" x14ac:dyDescent="0.35">
      <c r="F208" s="21"/>
      <c r="G208" s="22"/>
      <c r="H208" s="83"/>
      <c r="I208" s="23"/>
    </row>
    <row r="209" spans="6:9" x14ac:dyDescent="0.35">
      <c r="F209" s="21"/>
      <c r="G209" s="22"/>
      <c r="H209" s="83"/>
      <c r="I209" s="23"/>
    </row>
    <row r="210" spans="6:9" x14ac:dyDescent="0.35">
      <c r="F210" s="21"/>
      <c r="G210" s="22"/>
      <c r="H210" s="83"/>
      <c r="I210" s="23"/>
    </row>
    <row r="211" spans="6:9" x14ac:dyDescent="0.35">
      <c r="F211" s="21"/>
      <c r="G211" s="22"/>
      <c r="H211" s="83"/>
      <c r="I211" s="23"/>
    </row>
    <row r="212" spans="6:9" x14ac:dyDescent="0.35">
      <c r="F212" s="21"/>
      <c r="G212" s="22"/>
      <c r="H212" s="83"/>
      <c r="I212" s="23"/>
    </row>
    <row r="213" spans="6:9" x14ac:dyDescent="0.35">
      <c r="F213" s="21"/>
      <c r="G213" s="22"/>
      <c r="H213" s="83"/>
      <c r="I213" s="23"/>
    </row>
    <row r="214" spans="6:9" x14ac:dyDescent="0.35">
      <c r="F214" s="21"/>
      <c r="G214" s="22"/>
      <c r="H214" s="83"/>
      <c r="I214" s="23"/>
    </row>
    <row r="215" spans="6:9" x14ac:dyDescent="0.35">
      <c r="F215" s="21"/>
      <c r="G215" s="22"/>
      <c r="H215" s="83"/>
      <c r="I215" s="23"/>
    </row>
    <row r="216" spans="6:9" x14ac:dyDescent="0.35">
      <c r="F216" s="21"/>
      <c r="G216" s="22"/>
      <c r="H216" s="83"/>
      <c r="I216" s="23"/>
    </row>
    <row r="217" spans="6:9" x14ac:dyDescent="0.35">
      <c r="H217" s="83"/>
      <c r="I217" s="23"/>
    </row>
    <row r="218" spans="6:9" x14ac:dyDescent="0.35">
      <c r="H218" s="83"/>
      <c r="I218" s="23"/>
    </row>
    <row r="219" spans="6:9" x14ac:dyDescent="0.35">
      <c r="H219" s="83"/>
      <c r="I219" s="23"/>
    </row>
    <row r="220" spans="6:9" x14ac:dyDescent="0.35">
      <c r="F220" s="21"/>
      <c r="G220" s="22"/>
      <c r="H220" s="83"/>
      <c r="I220" s="23"/>
    </row>
    <row r="221" spans="6:9" x14ac:dyDescent="0.35">
      <c r="F221" s="21"/>
      <c r="G221" s="22"/>
      <c r="H221" s="83"/>
      <c r="I221" s="23"/>
    </row>
    <row r="222" spans="6:9" x14ac:dyDescent="0.35">
      <c r="F222" s="21"/>
      <c r="G222" s="22"/>
      <c r="H222" s="83"/>
      <c r="I222" s="23"/>
    </row>
    <row r="223" spans="6:9" x14ac:dyDescent="0.35">
      <c r="F223" s="21"/>
      <c r="G223" s="22"/>
      <c r="H223" s="83"/>
      <c r="I223" s="23"/>
    </row>
    <row r="224" spans="6:9" x14ac:dyDescent="0.35">
      <c r="F224" s="21"/>
      <c r="G224" s="22"/>
      <c r="H224" s="83"/>
      <c r="I224" s="23"/>
    </row>
    <row r="225" spans="6:9" x14ac:dyDescent="0.35">
      <c r="F225" s="21"/>
      <c r="G225" s="22"/>
      <c r="H225" s="83"/>
      <c r="I225" s="23"/>
    </row>
    <row r="226" spans="6:9" x14ac:dyDescent="0.35">
      <c r="F226" s="21"/>
      <c r="G226" s="22"/>
      <c r="H226" s="83"/>
      <c r="I226" s="23"/>
    </row>
    <row r="227" spans="6:9" x14ac:dyDescent="0.35">
      <c r="F227" s="21"/>
      <c r="G227" s="22"/>
      <c r="H227" s="83"/>
      <c r="I227" s="23"/>
    </row>
    <row r="228" spans="6:9" x14ac:dyDescent="0.35">
      <c r="F228" s="21"/>
      <c r="G228" s="22"/>
      <c r="H228" s="83"/>
      <c r="I228" s="23"/>
    </row>
    <row r="229" spans="6:9" x14ac:dyDescent="0.35">
      <c r="F229" s="21"/>
      <c r="G229" s="22"/>
      <c r="H229" s="83"/>
      <c r="I229" s="23"/>
    </row>
    <row r="230" spans="6:9" x14ac:dyDescent="0.35">
      <c r="F230" s="21"/>
      <c r="G230" s="22"/>
      <c r="H230" s="83"/>
      <c r="I230" s="23"/>
    </row>
    <row r="231" spans="6:9" x14ac:dyDescent="0.35">
      <c r="F231" s="21"/>
      <c r="G231" s="22"/>
      <c r="H231" s="83"/>
      <c r="I231" s="23"/>
    </row>
    <row r="232" spans="6:9" x14ac:dyDescent="0.35">
      <c r="F232" s="21"/>
      <c r="G232" s="22"/>
      <c r="H232" s="83"/>
      <c r="I232" s="23"/>
    </row>
    <row r="233" spans="6:9" x14ac:dyDescent="0.35">
      <c r="F233" s="21"/>
      <c r="G233" s="22"/>
      <c r="H233" s="83"/>
      <c r="I233" s="23"/>
    </row>
    <row r="234" spans="6:9" x14ac:dyDescent="0.35">
      <c r="F234" s="21"/>
      <c r="G234" s="22"/>
      <c r="H234" s="83"/>
      <c r="I234" s="23"/>
    </row>
    <row r="235" spans="6:9" ht="16.5" customHeight="1" x14ac:dyDescent="0.35">
      <c r="F235" s="21"/>
      <c r="G235" s="22"/>
      <c r="H235" s="83"/>
      <c r="I235" s="23"/>
    </row>
    <row r="236" spans="6:9" x14ac:dyDescent="0.35">
      <c r="F236" s="21"/>
      <c r="G236" s="22"/>
      <c r="H236" s="83"/>
      <c r="I236" s="23"/>
    </row>
    <row r="237" spans="6:9" x14ac:dyDescent="0.35">
      <c r="F237" s="21"/>
      <c r="G237" s="22"/>
      <c r="H237" s="83"/>
      <c r="I237" s="23"/>
    </row>
    <row r="238" spans="6:9" x14ac:dyDescent="0.35">
      <c r="F238" s="21"/>
      <c r="G238" s="22"/>
      <c r="H238" s="83"/>
      <c r="I238" s="23"/>
    </row>
    <row r="239" spans="6:9" x14ac:dyDescent="0.35">
      <c r="F239" s="21"/>
      <c r="G239" s="22"/>
      <c r="H239" s="83"/>
      <c r="I239" s="23"/>
    </row>
    <row r="240" spans="6:9" x14ac:dyDescent="0.35">
      <c r="F240" s="21"/>
      <c r="G240" s="22"/>
      <c r="H240" s="83"/>
      <c r="I240" s="23"/>
    </row>
    <row r="241" spans="6:9" x14ac:dyDescent="0.35">
      <c r="F241" s="21"/>
      <c r="G241" s="22"/>
      <c r="H241" s="83"/>
      <c r="I241" s="23"/>
    </row>
    <row r="242" spans="6:9" x14ac:dyDescent="0.35">
      <c r="F242" s="21"/>
      <c r="G242" s="22"/>
      <c r="H242" s="83"/>
      <c r="I242" s="23"/>
    </row>
    <row r="243" spans="6:9" x14ac:dyDescent="0.35">
      <c r="F243" s="21"/>
      <c r="G243" s="22"/>
      <c r="H243" s="83"/>
      <c r="I243" s="23"/>
    </row>
    <row r="244" spans="6:9" x14ac:dyDescent="0.35">
      <c r="F244" s="21"/>
      <c r="G244" s="22"/>
      <c r="H244" s="83"/>
      <c r="I244" s="23"/>
    </row>
    <row r="245" spans="6:9" x14ac:dyDescent="0.35">
      <c r="F245" s="21"/>
      <c r="G245" s="22"/>
      <c r="H245" s="83"/>
      <c r="I245" s="23"/>
    </row>
    <row r="246" spans="6:9" x14ac:dyDescent="0.35">
      <c r="F246" s="21"/>
      <c r="G246" s="22"/>
      <c r="H246" s="83"/>
      <c r="I246" s="23"/>
    </row>
    <row r="247" spans="6:9" x14ac:dyDescent="0.35">
      <c r="F247" s="21"/>
      <c r="G247" s="22"/>
      <c r="H247" s="83"/>
      <c r="I247" s="23"/>
    </row>
    <row r="248" spans="6:9" x14ac:dyDescent="0.35">
      <c r="F248" s="21"/>
      <c r="G248" s="22"/>
      <c r="H248" s="83"/>
      <c r="I248" s="23"/>
    </row>
    <row r="249" spans="6:9" x14ac:dyDescent="0.35">
      <c r="F249" s="21"/>
      <c r="G249" s="22"/>
      <c r="H249" s="83"/>
      <c r="I249" s="23"/>
    </row>
    <row r="250" spans="6:9" x14ac:dyDescent="0.35">
      <c r="F250" s="21"/>
      <c r="G250" s="22"/>
      <c r="H250" s="83"/>
      <c r="I250" s="23"/>
    </row>
    <row r="251" spans="6:9" x14ac:dyDescent="0.35">
      <c r="F251" s="21"/>
      <c r="G251" s="22"/>
      <c r="H251" s="83"/>
      <c r="I251" s="23"/>
    </row>
    <row r="252" spans="6:9" x14ac:dyDescent="0.35">
      <c r="F252" s="21"/>
      <c r="G252" s="22"/>
      <c r="H252" s="83"/>
      <c r="I252" s="23"/>
    </row>
    <row r="253" spans="6:9" x14ac:dyDescent="0.35">
      <c r="F253" s="21"/>
      <c r="G253" s="22"/>
      <c r="H253" s="83"/>
      <c r="I253" s="23"/>
    </row>
    <row r="254" spans="6:9" x14ac:dyDescent="0.35">
      <c r="F254" s="21"/>
      <c r="G254" s="22"/>
      <c r="H254" s="83"/>
      <c r="I254" s="23"/>
    </row>
    <row r="255" spans="6:9" x14ac:dyDescent="0.35">
      <c r="F255" s="21"/>
      <c r="G255" s="22"/>
      <c r="H255" s="83"/>
      <c r="I255" s="23"/>
    </row>
    <row r="256" spans="6:9" x14ac:dyDescent="0.35">
      <c r="F256" s="21"/>
      <c r="G256" s="22"/>
      <c r="H256" s="83"/>
      <c r="I256" s="23"/>
    </row>
    <row r="257" spans="6:24" x14ac:dyDescent="0.35">
      <c r="F257" s="21"/>
      <c r="G257" s="22"/>
      <c r="H257" s="83"/>
      <c r="I257" s="23"/>
    </row>
    <row r="258" spans="6:24" x14ac:dyDescent="0.35">
      <c r="F258" s="21"/>
      <c r="G258" s="22"/>
      <c r="H258" s="83"/>
      <c r="I258" s="23"/>
    </row>
    <row r="259" spans="6:24" x14ac:dyDescent="0.35">
      <c r="F259" s="21"/>
      <c r="G259" s="22"/>
      <c r="H259" s="83"/>
      <c r="I259" s="23"/>
      <c r="V259" s="20" t="s">
        <v>950</v>
      </c>
    </row>
    <row r="260" spans="6:24" x14ac:dyDescent="0.35">
      <c r="F260" s="21"/>
      <c r="G260" s="22"/>
      <c r="H260" s="83"/>
      <c r="I260" s="23"/>
      <c r="V260" s="20" t="s">
        <v>949</v>
      </c>
    </row>
    <row r="261" spans="6:24" x14ac:dyDescent="0.35">
      <c r="F261" s="21"/>
      <c r="G261" s="22"/>
      <c r="H261" s="83"/>
      <c r="I261" s="23"/>
      <c r="X261" s="20" t="s">
        <v>948</v>
      </c>
    </row>
    <row r="262" spans="6:24" x14ac:dyDescent="0.35">
      <c r="F262" s="21"/>
      <c r="G262" s="22"/>
      <c r="H262" s="83"/>
      <c r="I262" s="23"/>
    </row>
    <row r="263" spans="6:24" x14ac:dyDescent="0.35">
      <c r="F263" s="21"/>
      <c r="G263" s="22"/>
      <c r="H263" s="83"/>
      <c r="I263" s="23"/>
      <c r="X263" s="20" t="s">
        <v>947</v>
      </c>
    </row>
    <row r="264" spans="6:24" x14ac:dyDescent="0.35">
      <c r="F264" s="21"/>
      <c r="G264" s="22"/>
      <c r="H264" s="83"/>
      <c r="I264" s="23"/>
    </row>
    <row r="265" spans="6:24" x14ac:dyDescent="0.35">
      <c r="F265" s="21"/>
      <c r="G265" s="22"/>
      <c r="H265" s="83"/>
      <c r="I265" s="23"/>
    </row>
    <row r="266" spans="6:24" x14ac:dyDescent="0.35">
      <c r="F266" s="21"/>
      <c r="G266" s="22"/>
      <c r="H266" s="83"/>
      <c r="I266" s="23"/>
    </row>
    <row r="267" spans="6:24" x14ac:dyDescent="0.35">
      <c r="F267" s="21"/>
      <c r="G267" s="22"/>
      <c r="H267" s="83"/>
      <c r="I267" s="23"/>
      <c r="M267" s="151"/>
    </row>
    <row r="268" spans="6:24" x14ac:dyDescent="0.35">
      <c r="F268" s="21"/>
      <c r="G268" s="22"/>
      <c r="H268" s="83"/>
      <c r="I268" s="23"/>
    </row>
    <row r="269" spans="6:24" x14ac:dyDescent="0.35">
      <c r="F269" s="21"/>
      <c r="G269" s="22"/>
      <c r="H269" s="83"/>
      <c r="I269" s="23"/>
    </row>
    <row r="270" spans="6:24" x14ac:dyDescent="0.35">
      <c r="F270" s="21"/>
      <c r="G270" s="22"/>
      <c r="H270" s="83"/>
      <c r="I270" s="23"/>
    </row>
    <row r="271" spans="6:24" x14ac:dyDescent="0.35">
      <c r="F271" s="21"/>
      <c r="G271" s="22"/>
      <c r="H271" s="83"/>
      <c r="I271" s="23"/>
    </row>
    <row r="272" spans="6:24" x14ac:dyDescent="0.35">
      <c r="F272" s="21"/>
      <c r="G272" s="22"/>
      <c r="H272" s="83"/>
      <c r="I272" s="23"/>
    </row>
    <row r="273" spans="6:9" x14ac:dyDescent="0.35">
      <c r="F273" s="21"/>
      <c r="G273" s="22"/>
      <c r="H273" s="83"/>
      <c r="I273" s="23"/>
    </row>
    <row r="274" spans="6:9" x14ac:dyDescent="0.35">
      <c r="F274" s="21"/>
      <c r="G274" s="22"/>
      <c r="H274" s="83"/>
      <c r="I274" s="23"/>
    </row>
    <row r="275" spans="6:9" x14ac:dyDescent="0.35">
      <c r="F275" s="21"/>
      <c r="G275" s="22"/>
      <c r="H275" s="83"/>
      <c r="I275" s="23"/>
    </row>
    <row r="276" spans="6:9" x14ac:dyDescent="0.35">
      <c r="F276" s="21"/>
      <c r="G276" s="22"/>
      <c r="H276" s="83"/>
      <c r="I276" s="23"/>
    </row>
    <row r="277" spans="6:9" x14ac:dyDescent="0.35">
      <c r="F277" s="21"/>
      <c r="G277" s="22"/>
      <c r="H277" s="83"/>
      <c r="I277" s="23"/>
    </row>
    <row r="278" spans="6:9" x14ac:dyDescent="0.35">
      <c r="F278" s="21"/>
      <c r="G278" s="22"/>
      <c r="H278" s="83"/>
      <c r="I278" s="23"/>
    </row>
    <row r="279" spans="6:9" x14ac:dyDescent="0.35">
      <c r="F279" s="21"/>
      <c r="G279" s="22"/>
      <c r="H279" s="83"/>
      <c r="I279" s="23"/>
    </row>
    <row r="280" spans="6:9" x14ac:dyDescent="0.35">
      <c r="F280" s="21"/>
      <c r="G280" s="22"/>
      <c r="H280" s="83"/>
      <c r="I280" s="23"/>
    </row>
    <row r="281" spans="6:9" x14ac:dyDescent="0.35">
      <c r="F281" s="21"/>
      <c r="G281" s="22"/>
      <c r="H281" s="83"/>
      <c r="I281" s="23"/>
    </row>
    <row r="282" spans="6:9" x14ac:dyDescent="0.35">
      <c r="F282" s="21"/>
      <c r="G282" s="22"/>
      <c r="H282" s="83"/>
      <c r="I282" s="23"/>
    </row>
    <row r="283" spans="6:9" x14ac:dyDescent="0.35">
      <c r="F283" s="21"/>
      <c r="G283" s="22"/>
      <c r="H283" s="83"/>
      <c r="I283" s="23"/>
    </row>
    <row r="284" spans="6:9" x14ac:dyDescent="0.35">
      <c r="F284" s="21"/>
      <c r="G284" s="22"/>
      <c r="H284" s="83"/>
      <c r="I284" s="23"/>
    </row>
    <row r="285" spans="6:9" x14ac:dyDescent="0.35">
      <c r="F285" s="21"/>
      <c r="G285" s="22"/>
      <c r="H285" s="83"/>
      <c r="I285" s="23"/>
    </row>
    <row r="286" spans="6:9" x14ac:dyDescent="0.35">
      <c r="F286" s="21"/>
      <c r="G286" s="22"/>
      <c r="H286" s="83"/>
      <c r="I286" s="23"/>
    </row>
    <row r="287" spans="6:9" x14ac:dyDescent="0.35">
      <c r="F287" s="21"/>
      <c r="G287" s="22"/>
      <c r="H287" s="83"/>
      <c r="I287" s="23"/>
    </row>
    <row r="288" spans="6:9" x14ac:dyDescent="0.35">
      <c r="F288" s="21"/>
      <c r="G288" s="22"/>
      <c r="H288" s="83"/>
      <c r="I288" s="23"/>
    </row>
    <row r="289" spans="6:9" x14ac:dyDescent="0.35">
      <c r="F289" s="21"/>
      <c r="G289" s="22"/>
      <c r="H289" s="83"/>
      <c r="I289" s="23"/>
    </row>
    <row r="290" spans="6:9" x14ac:dyDescent="0.35">
      <c r="F290" s="21"/>
      <c r="G290" s="22"/>
      <c r="H290" s="83"/>
      <c r="I290" s="23"/>
    </row>
    <row r="291" spans="6:9" x14ac:dyDescent="0.35">
      <c r="F291" s="21"/>
      <c r="G291" s="22"/>
      <c r="H291" s="83"/>
      <c r="I291" s="23"/>
    </row>
    <row r="292" spans="6:9" x14ac:dyDescent="0.35">
      <c r="F292" s="21"/>
      <c r="G292" s="22"/>
      <c r="H292" s="83"/>
      <c r="I292" s="23"/>
    </row>
    <row r="293" spans="6:9" x14ac:dyDescent="0.35">
      <c r="F293" s="21"/>
      <c r="G293" s="22"/>
      <c r="H293" s="83"/>
      <c r="I293" s="23"/>
    </row>
    <row r="294" spans="6:9" x14ac:dyDescent="0.35">
      <c r="F294" s="21"/>
      <c r="G294" s="22"/>
      <c r="H294" s="83"/>
      <c r="I294" s="23"/>
    </row>
    <row r="295" spans="6:9" x14ac:dyDescent="0.35">
      <c r="F295" s="21"/>
      <c r="G295" s="22"/>
      <c r="H295" s="83"/>
      <c r="I295" s="23"/>
    </row>
    <row r="296" spans="6:9" x14ac:dyDescent="0.35">
      <c r="F296" s="21"/>
      <c r="G296" s="22"/>
      <c r="H296" s="83"/>
      <c r="I296" s="23"/>
    </row>
    <row r="297" spans="6:9" x14ac:dyDescent="0.35">
      <c r="F297" s="21"/>
      <c r="G297" s="22"/>
      <c r="H297" s="83"/>
      <c r="I297" s="23"/>
    </row>
    <row r="298" spans="6:9" x14ac:dyDescent="0.35">
      <c r="F298" s="21"/>
      <c r="G298" s="22"/>
      <c r="H298" s="83"/>
      <c r="I298" s="23"/>
    </row>
    <row r="299" spans="6:9" x14ac:dyDescent="0.35">
      <c r="F299" s="21"/>
      <c r="G299" s="22"/>
      <c r="H299" s="83"/>
      <c r="I299" s="23"/>
    </row>
    <row r="300" spans="6:9" x14ac:dyDescent="0.35">
      <c r="F300" s="21"/>
      <c r="G300" s="22"/>
      <c r="H300" s="83"/>
      <c r="I300" s="23"/>
    </row>
    <row r="301" spans="6:9" x14ac:dyDescent="0.35">
      <c r="F301" s="21"/>
      <c r="G301" s="22"/>
      <c r="H301" s="83"/>
      <c r="I301" s="23"/>
    </row>
    <row r="302" spans="6:9" x14ac:dyDescent="0.35">
      <c r="F302" s="21"/>
      <c r="G302" s="22"/>
      <c r="H302" s="83"/>
      <c r="I302" s="23"/>
    </row>
    <row r="303" spans="6:9" x14ac:dyDescent="0.35">
      <c r="F303" s="21"/>
      <c r="G303" s="22"/>
      <c r="H303" s="83"/>
      <c r="I303" s="23"/>
    </row>
    <row r="304" spans="6:9" x14ac:dyDescent="0.35">
      <c r="F304" s="21"/>
      <c r="G304" s="22"/>
      <c r="H304" s="83"/>
      <c r="I304" s="23"/>
    </row>
    <row r="305" spans="6:9" x14ac:dyDescent="0.35">
      <c r="F305" s="21"/>
      <c r="G305" s="22"/>
      <c r="H305" s="83"/>
      <c r="I305" s="23"/>
    </row>
    <row r="306" spans="6:9" x14ac:dyDescent="0.35">
      <c r="F306" s="21"/>
      <c r="G306" s="22"/>
      <c r="H306" s="83"/>
      <c r="I306" s="23"/>
    </row>
    <row r="307" spans="6:9" x14ac:dyDescent="0.35">
      <c r="F307" s="21"/>
      <c r="G307" s="22"/>
      <c r="H307" s="83"/>
      <c r="I307" s="23"/>
    </row>
    <row r="308" spans="6:9" x14ac:dyDescent="0.35">
      <c r="F308" s="21"/>
      <c r="G308" s="22"/>
      <c r="H308" s="83"/>
      <c r="I308" s="23"/>
    </row>
    <row r="309" spans="6:9" x14ac:dyDescent="0.35">
      <c r="F309" s="21"/>
      <c r="G309" s="22"/>
      <c r="H309" s="83"/>
      <c r="I309" s="23"/>
    </row>
    <row r="310" spans="6:9" x14ac:dyDescent="0.35">
      <c r="F310" s="21"/>
      <c r="G310" s="22"/>
      <c r="H310" s="83"/>
      <c r="I310" s="23"/>
    </row>
    <row r="311" spans="6:9" x14ac:dyDescent="0.35">
      <c r="F311" s="21"/>
      <c r="G311" s="22"/>
      <c r="H311" s="83"/>
      <c r="I311" s="23"/>
    </row>
    <row r="312" spans="6:9" x14ac:dyDescent="0.35">
      <c r="F312" s="21"/>
      <c r="G312" s="22"/>
      <c r="H312" s="83"/>
      <c r="I312" s="23"/>
    </row>
    <row r="313" spans="6:9" x14ac:dyDescent="0.35">
      <c r="F313" s="21"/>
      <c r="G313" s="22"/>
      <c r="H313" s="83"/>
      <c r="I313" s="23"/>
    </row>
    <row r="314" spans="6:9" x14ac:dyDescent="0.35">
      <c r="F314" s="21"/>
      <c r="G314" s="22"/>
      <c r="H314" s="83"/>
      <c r="I314" s="23"/>
    </row>
    <row r="315" spans="6:9" x14ac:dyDescent="0.35">
      <c r="F315" s="21"/>
      <c r="G315" s="22"/>
      <c r="H315" s="83"/>
      <c r="I315" s="23"/>
    </row>
    <row r="316" spans="6:9" x14ac:dyDescent="0.35">
      <c r="F316" s="21"/>
      <c r="G316" s="22"/>
      <c r="H316" s="83"/>
      <c r="I316" s="23"/>
    </row>
    <row r="317" spans="6:9" x14ac:dyDescent="0.35">
      <c r="F317" s="21"/>
      <c r="G317" s="22"/>
      <c r="H317" s="83"/>
      <c r="I317" s="23"/>
    </row>
    <row r="318" spans="6:9" x14ac:dyDescent="0.35">
      <c r="F318" s="21"/>
      <c r="G318" s="22"/>
      <c r="H318" s="83"/>
      <c r="I318" s="23"/>
    </row>
    <row r="319" spans="6:9" x14ac:dyDescent="0.35">
      <c r="F319" s="21"/>
      <c r="G319" s="22"/>
      <c r="H319" s="83"/>
      <c r="I319" s="23"/>
    </row>
    <row r="320" spans="6:9" x14ac:dyDescent="0.35">
      <c r="F320" s="21"/>
      <c r="G320" s="22"/>
      <c r="H320" s="83"/>
      <c r="I320" s="23"/>
    </row>
    <row r="321" spans="6:9" x14ac:dyDescent="0.35">
      <c r="F321" s="21"/>
      <c r="G321" s="22"/>
      <c r="H321" s="83"/>
      <c r="I321" s="23"/>
    </row>
    <row r="322" spans="6:9" x14ac:dyDescent="0.35">
      <c r="F322" s="21"/>
      <c r="G322" s="22"/>
      <c r="H322" s="83"/>
      <c r="I322" s="23"/>
    </row>
    <row r="323" spans="6:9" x14ac:dyDescent="0.35">
      <c r="F323" s="21"/>
      <c r="G323" s="22"/>
      <c r="H323" s="83"/>
      <c r="I323" s="23"/>
    </row>
    <row r="324" spans="6:9" x14ac:dyDescent="0.35">
      <c r="F324" s="21"/>
      <c r="G324" s="22"/>
      <c r="H324" s="83"/>
      <c r="I324" s="23"/>
    </row>
    <row r="325" spans="6:9" x14ac:dyDescent="0.35">
      <c r="F325" s="21"/>
      <c r="G325" s="22"/>
      <c r="H325" s="83"/>
      <c r="I325" s="23"/>
    </row>
    <row r="326" spans="6:9" x14ac:dyDescent="0.35">
      <c r="F326" s="21"/>
      <c r="G326" s="22"/>
      <c r="H326" s="83"/>
      <c r="I326" s="23"/>
    </row>
    <row r="327" spans="6:9" x14ac:dyDescent="0.35">
      <c r="F327" s="21"/>
      <c r="G327" s="22"/>
      <c r="H327" s="83"/>
      <c r="I327" s="23"/>
    </row>
    <row r="328" spans="6:9" x14ac:dyDescent="0.35">
      <c r="F328" s="21"/>
      <c r="G328" s="22"/>
      <c r="H328" s="83"/>
      <c r="I328" s="23"/>
    </row>
    <row r="329" spans="6:9" x14ac:dyDescent="0.35">
      <c r="F329" s="21"/>
      <c r="G329" s="22"/>
      <c r="H329" s="83"/>
      <c r="I329" s="23"/>
    </row>
    <row r="330" spans="6:9" x14ac:dyDescent="0.35">
      <c r="F330" s="21"/>
      <c r="G330" s="22"/>
      <c r="H330" s="83"/>
      <c r="I330" s="23"/>
    </row>
    <row r="331" spans="6:9" x14ac:dyDescent="0.35">
      <c r="F331" s="21"/>
      <c r="G331" s="22"/>
      <c r="H331" s="83"/>
      <c r="I331" s="23"/>
    </row>
    <row r="332" spans="6:9" x14ac:dyDescent="0.35">
      <c r="F332" s="21"/>
      <c r="G332" s="22"/>
      <c r="H332" s="83"/>
      <c r="I332" s="23"/>
    </row>
    <row r="333" spans="6:9" x14ac:dyDescent="0.35">
      <c r="F333" s="21"/>
      <c r="G333" s="22"/>
      <c r="H333" s="83"/>
      <c r="I333" s="23"/>
    </row>
    <row r="334" spans="6:9" x14ac:dyDescent="0.35">
      <c r="F334" s="21"/>
      <c r="G334" s="22"/>
      <c r="H334" s="83"/>
      <c r="I334" s="23"/>
    </row>
    <row r="335" spans="6:9" x14ac:dyDescent="0.35">
      <c r="F335" s="21"/>
      <c r="G335" s="22"/>
      <c r="H335" s="83"/>
      <c r="I335" s="23"/>
    </row>
    <row r="336" spans="6:9" x14ac:dyDescent="0.35">
      <c r="F336" s="21"/>
      <c r="G336" s="22"/>
      <c r="H336" s="83"/>
      <c r="I336" s="23"/>
    </row>
    <row r="337" spans="6:9" x14ac:dyDescent="0.35">
      <c r="F337" s="21"/>
      <c r="G337" s="22"/>
      <c r="H337" s="83"/>
      <c r="I337" s="23"/>
    </row>
    <row r="338" spans="6:9" x14ac:dyDescent="0.35">
      <c r="F338" s="21"/>
      <c r="G338" s="22"/>
      <c r="H338" s="83"/>
      <c r="I338" s="23"/>
    </row>
    <row r="339" spans="6:9" x14ac:dyDescent="0.35">
      <c r="F339" s="21"/>
      <c r="G339" s="22"/>
      <c r="H339" s="83"/>
      <c r="I339" s="23"/>
    </row>
    <row r="340" spans="6:9" x14ac:dyDescent="0.35">
      <c r="F340" s="21"/>
      <c r="G340" s="22"/>
      <c r="H340" s="83"/>
      <c r="I340" s="23"/>
    </row>
    <row r="341" spans="6:9" x14ac:dyDescent="0.35">
      <c r="F341" s="21"/>
      <c r="G341" s="22"/>
      <c r="H341" s="83"/>
      <c r="I341" s="23"/>
    </row>
    <row r="342" spans="6:9" x14ac:dyDescent="0.35">
      <c r="F342" s="21"/>
      <c r="G342" s="22"/>
      <c r="H342" s="83"/>
      <c r="I342" s="23"/>
    </row>
    <row r="343" spans="6:9" x14ac:dyDescent="0.35">
      <c r="F343" s="21"/>
      <c r="G343" s="22"/>
      <c r="H343" s="83"/>
      <c r="I343" s="23"/>
    </row>
    <row r="344" spans="6:9" x14ac:dyDescent="0.35">
      <c r="F344" s="21"/>
      <c r="G344" s="22"/>
      <c r="H344" s="83"/>
      <c r="I344" s="23"/>
    </row>
    <row r="345" spans="6:9" x14ac:dyDescent="0.35">
      <c r="F345" s="21"/>
      <c r="G345" s="22"/>
      <c r="H345" s="83"/>
      <c r="I345" s="23"/>
    </row>
    <row r="346" spans="6:9" x14ac:dyDescent="0.35">
      <c r="F346" s="21"/>
      <c r="G346" s="22"/>
      <c r="H346" s="83"/>
      <c r="I346" s="23"/>
    </row>
    <row r="347" spans="6:9" x14ac:dyDescent="0.35">
      <c r="F347" s="21"/>
      <c r="G347" s="22"/>
      <c r="H347" s="83"/>
      <c r="I347" s="23"/>
    </row>
    <row r="348" spans="6:9" x14ac:dyDescent="0.35">
      <c r="F348" s="21"/>
      <c r="G348" s="22"/>
      <c r="H348" s="83"/>
      <c r="I348" s="23"/>
    </row>
    <row r="349" spans="6:9" x14ac:dyDescent="0.35">
      <c r="F349" s="21"/>
      <c r="G349" s="22"/>
      <c r="H349" s="83"/>
      <c r="I349" s="23"/>
    </row>
    <row r="350" spans="6:9" x14ac:dyDescent="0.35">
      <c r="F350" s="21"/>
      <c r="G350" s="22"/>
      <c r="H350" s="83"/>
      <c r="I350" s="23"/>
    </row>
    <row r="351" spans="6:9" x14ac:dyDescent="0.35">
      <c r="F351" s="21"/>
      <c r="G351" s="22"/>
      <c r="H351" s="83"/>
      <c r="I351" s="23"/>
    </row>
    <row r="352" spans="6:9" x14ac:dyDescent="0.35">
      <c r="F352" s="21"/>
      <c r="G352" s="22"/>
      <c r="H352" s="83"/>
      <c r="I352" s="23"/>
    </row>
    <row r="353" spans="6:9" x14ac:dyDescent="0.35">
      <c r="F353" s="21"/>
      <c r="G353" s="22"/>
      <c r="H353" s="83"/>
      <c r="I353" s="23"/>
    </row>
    <row r="354" spans="6:9" x14ac:dyDescent="0.35">
      <c r="F354" s="21"/>
      <c r="G354" s="22"/>
      <c r="H354" s="83"/>
      <c r="I354" s="23"/>
    </row>
    <row r="355" spans="6:9" x14ac:dyDescent="0.35">
      <c r="F355" s="21"/>
      <c r="G355" s="22"/>
      <c r="H355" s="83"/>
      <c r="I355" s="23"/>
    </row>
    <row r="356" spans="6:9" x14ac:dyDescent="0.35">
      <c r="F356" s="21"/>
      <c r="G356" s="22"/>
      <c r="H356" s="83"/>
      <c r="I356" s="23"/>
    </row>
    <row r="357" spans="6:9" x14ac:dyDescent="0.35">
      <c r="F357" s="21"/>
      <c r="G357" s="22"/>
      <c r="H357" s="83"/>
      <c r="I357" s="23"/>
    </row>
    <row r="358" spans="6:9" x14ac:dyDescent="0.35">
      <c r="F358" s="21"/>
      <c r="G358" s="22"/>
      <c r="H358" s="83"/>
      <c r="I358" s="23"/>
    </row>
    <row r="359" spans="6:9" x14ac:dyDescent="0.35">
      <c r="F359" s="21"/>
      <c r="G359" s="22"/>
      <c r="H359" s="83"/>
      <c r="I359" s="23"/>
    </row>
    <row r="360" spans="6:9" x14ac:dyDescent="0.35">
      <c r="F360" s="21"/>
      <c r="G360" s="22"/>
      <c r="H360" s="83"/>
      <c r="I360" s="23"/>
    </row>
    <row r="361" spans="6:9" x14ac:dyDescent="0.35">
      <c r="F361" s="21"/>
      <c r="G361" s="22"/>
      <c r="H361" s="83"/>
      <c r="I361" s="23"/>
    </row>
    <row r="362" spans="6:9" x14ac:dyDescent="0.35">
      <c r="F362" s="21"/>
      <c r="G362" s="22"/>
      <c r="H362" s="83"/>
      <c r="I362" s="23"/>
    </row>
    <row r="363" spans="6:9" x14ac:dyDescent="0.35">
      <c r="F363" s="21"/>
      <c r="G363" s="22"/>
      <c r="H363" s="83"/>
      <c r="I363" s="23"/>
    </row>
    <row r="364" spans="6:9" x14ac:dyDescent="0.35">
      <c r="F364" s="21"/>
      <c r="G364" s="22"/>
      <c r="H364" s="83"/>
      <c r="I364" s="23"/>
    </row>
    <row r="365" spans="6:9" x14ac:dyDescent="0.35">
      <c r="F365" s="21"/>
      <c r="G365" s="22"/>
      <c r="H365" s="83"/>
      <c r="I365" s="23"/>
    </row>
    <row r="366" spans="6:9" x14ac:dyDescent="0.35">
      <c r="F366" s="21"/>
      <c r="G366" s="22"/>
      <c r="H366" s="83"/>
      <c r="I366" s="23"/>
    </row>
    <row r="367" spans="6:9" x14ac:dyDescent="0.35">
      <c r="F367" s="21"/>
      <c r="G367" s="22"/>
      <c r="H367" s="83"/>
      <c r="I367" s="23"/>
    </row>
    <row r="368" spans="6:9" x14ac:dyDescent="0.35">
      <c r="F368" s="21"/>
      <c r="G368" s="22"/>
      <c r="H368" s="83"/>
      <c r="I368" s="23"/>
    </row>
    <row r="369" spans="2:9" x14ac:dyDescent="0.35">
      <c r="F369" s="21"/>
      <c r="G369" s="22"/>
      <c r="H369" s="83"/>
      <c r="I369" s="23"/>
    </row>
    <row r="370" spans="2:9" ht="18" x14ac:dyDescent="0.4">
      <c r="B370" s="44" t="s">
        <v>6</v>
      </c>
      <c r="F370" s="21"/>
      <c r="G370" s="22"/>
      <c r="H370" s="83"/>
      <c r="I370" s="23"/>
    </row>
    <row r="371" spans="2:9" x14ac:dyDescent="0.35">
      <c r="F371" s="21"/>
      <c r="G371" s="22"/>
      <c r="H371" s="83"/>
      <c r="I371" s="23"/>
    </row>
    <row r="372" spans="2:9" x14ac:dyDescent="0.35">
      <c r="F372" s="21"/>
      <c r="G372" s="22"/>
      <c r="H372" s="83"/>
      <c r="I372" s="23"/>
    </row>
    <row r="373" spans="2:9" x14ac:dyDescent="0.35">
      <c r="F373" s="21"/>
      <c r="G373" s="22"/>
      <c r="H373" s="83"/>
      <c r="I373" s="23"/>
    </row>
    <row r="374" spans="2:9" x14ac:dyDescent="0.35">
      <c r="F374" s="21"/>
      <c r="G374" s="22"/>
      <c r="H374" s="83"/>
      <c r="I374" s="23"/>
    </row>
    <row r="375" spans="2:9" x14ac:dyDescent="0.35">
      <c r="F375" s="21"/>
      <c r="G375" s="22"/>
      <c r="H375" s="83"/>
      <c r="I375" s="23"/>
    </row>
    <row r="376" spans="2:9" x14ac:dyDescent="0.35">
      <c r="F376" s="21"/>
      <c r="G376" s="22"/>
      <c r="H376" s="83"/>
      <c r="I376" s="23"/>
    </row>
    <row r="377" spans="2:9" x14ac:dyDescent="0.35">
      <c r="F377" s="21"/>
      <c r="G377" s="22"/>
      <c r="H377" s="83"/>
      <c r="I377" s="23"/>
    </row>
    <row r="378" spans="2:9" x14ac:dyDescent="0.35">
      <c r="F378" s="21"/>
      <c r="G378" s="22"/>
      <c r="H378" s="83"/>
      <c r="I378" s="23"/>
    </row>
    <row r="379" spans="2:9" x14ac:dyDescent="0.35">
      <c r="F379" s="21"/>
      <c r="G379" s="22"/>
      <c r="H379" s="83"/>
      <c r="I379" s="23"/>
    </row>
    <row r="380" spans="2:9" x14ac:dyDescent="0.35">
      <c r="F380" s="21"/>
      <c r="G380" s="22"/>
      <c r="H380" s="83"/>
      <c r="I380" s="23"/>
    </row>
    <row r="381" spans="2:9" x14ac:dyDescent="0.35">
      <c r="F381" s="21"/>
      <c r="G381" s="22"/>
      <c r="H381" s="83"/>
      <c r="I381" s="23"/>
    </row>
    <row r="382" spans="2:9" x14ac:dyDescent="0.35">
      <c r="F382" s="21"/>
      <c r="G382" s="22"/>
      <c r="H382" s="83"/>
      <c r="I382" s="23"/>
    </row>
    <row r="383" spans="2:9" x14ac:dyDescent="0.35">
      <c r="F383" s="21"/>
      <c r="G383" s="22"/>
      <c r="H383" s="83"/>
      <c r="I383" s="23"/>
    </row>
    <row r="384" spans="2:9" x14ac:dyDescent="0.35">
      <c r="F384" s="21"/>
      <c r="G384" s="22"/>
      <c r="H384" s="83"/>
      <c r="I384" s="23"/>
    </row>
    <row r="385" spans="6:9" x14ac:dyDescent="0.35">
      <c r="F385" s="21"/>
      <c r="G385" s="22"/>
      <c r="H385" s="23"/>
      <c r="I385" s="23"/>
    </row>
    <row r="386" spans="6:9" x14ac:dyDescent="0.35">
      <c r="F386" s="21"/>
      <c r="G386" s="22"/>
      <c r="H386" s="23"/>
      <c r="I386" s="23"/>
    </row>
    <row r="387" spans="6:9" x14ac:dyDescent="0.35">
      <c r="F387" s="21"/>
      <c r="G387" s="22"/>
      <c r="H387" s="23"/>
      <c r="I387" s="23"/>
    </row>
    <row r="388" spans="6:9" x14ac:dyDescent="0.35">
      <c r="F388" s="21"/>
      <c r="G388" s="22"/>
      <c r="H388" s="23"/>
      <c r="I388" s="23"/>
    </row>
    <row r="389" spans="6:9" x14ac:dyDescent="0.35">
      <c r="F389" s="21"/>
      <c r="G389" s="22"/>
      <c r="H389" s="23"/>
      <c r="I389" s="23"/>
    </row>
    <row r="390" spans="6:9" x14ac:dyDescent="0.35">
      <c r="F390" s="21"/>
      <c r="G390" s="22"/>
      <c r="H390" s="23"/>
      <c r="I390" s="23"/>
    </row>
    <row r="391" spans="6:9" x14ac:dyDescent="0.35">
      <c r="F391" s="21"/>
      <c r="G391" s="22"/>
      <c r="H391" s="23"/>
      <c r="I391" s="23"/>
    </row>
    <row r="392" spans="6:9" x14ac:dyDescent="0.35">
      <c r="F392" s="21"/>
      <c r="G392" s="22"/>
      <c r="H392" s="23"/>
      <c r="I392" s="23"/>
    </row>
    <row r="393" spans="6:9" x14ac:dyDescent="0.35">
      <c r="F393" s="21"/>
      <c r="G393" s="22"/>
      <c r="H393" s="23"/>
      <c r="I393" s="23"/>
    </row>
    <row r="394" spans="6:9" x14ac:dyDescent="0.35">
      <c r="F394" s="21"/>
      <c r="G394" s="22"/>
      <c r="H394" s="23"/>
      <c r="I394" s="23"/>
    </row>
    <row r="395" spans="6:9" x14ac:dyDescent="0.35">
      <c r="F395" s="21"/>
      <c r="G395" s="22"/>
      <c r="H395" s="23"/>
      <c r="I395" s="23"/>
    </row>
    <row r="396" spans="6:9" x14ac:dyDescent="0.35">
      <c r="F396" s="21"/>
      <c r="G396" s="22"/>
      <c r="H396" s="23"/>
      <c r="I396" s="23"/>
    </row>
    <row r="397" spans="6:9" x14ac:dyDescent="0.35">
      <c r="F397" s="21"/>
      <c r="G397" s="22"/>
      <c r="H397" s="23"/>
      <c r="I397" s="23"/>
    </row>
    <row r="398" spans="6:9" x14ac:dyDescent="0.35">
      <c r="F398" s="21"/>
      <c r="G398" s="22"/>
      <c r="H398" s="23"/>
      <c r="I398" s="23"/>
    </row>
    <row r="399" spans="6:9" x14ac:dyDescent="0.35">
      <c r="F399" s="21"/>
      <c r="G399" s="22"/>
      <c r="H399" s="23"/>
      <c r="I399" s="23"/>
    </row>
    <row r="400" spans="6:9" x14ac:dyDescent="0.35">
      <c r="F400" s="21"/>
      <c r="G400" s="22"/>
      <c r="H400" s="23"/>
      <c r="I400" s="23"/>
    </row>
    <row r="401" spans="6:20" x14ac:dyDescent="0.35">
      <c r="F401" s="21"/>
      <c r="G401" s="22"/>
      <c r="H401" s="23"/>
      <c r="I401" s="23"/>
    </row>
    <row r="402" spans="6:20" x14ac:dyDescent="0.35">
      <c r="F402" s="21"/>
      <c r="G402" s="22"/>
      <c r="H402" s="23"/>
      <c r="I402" s="23"/>
    </row>
    <row r="403" spans="6:20" x14ac:dyDescent="0.35">
      <c r="F403" s="21"/>
      <c r="G403" s="22"/>
      <c r="H403" s="23"/>
      <c r="I403" s="23"/>
    </row>
    <row r="404" spans="6:20" x14ac:dyDescent="0.35">
      <c r="F404" s="21"/>
      <c r="G404" s="22"/>
      <c r="H404" s="23"/>
      <c r="I404" s="23"/>
    </row>
    <row r="405" spans="6:20" x14ac:dyDescent="0.35">
      <c r="F405" s="21"/>
      <c r="G405" s="22"/>
      <c r="H405" s="23"/>
      <c r="I405" s="23"/>
    </row>
    <row r="406" spans="6:20" x14ac:dyDescent="0.35">
      <c r="F406" s="21"/>
      <c r="G406" s="22"/>
      <c r="H406" s="23"/>
      <c r="I406" s="23"/>
    </row>
    <row r="407" spans="6:20" x14ac:dyDescent="0.35">
      <c r="F407" s="21"/>
      <c r="G407" s="22"/>
      <c r="H407" s="23"/>
      <c r="I407" s="23"/>
    </row>
    <row r="408" spans="6:20" x14ac:dyDescent="0.35">
      <c r="F408" s="21"/>
      <c r="G408" s="22"/>
      <c r="H408" s="23"/>
      <c r="I408" s="23"/>
    </row>
    <row r="409" spans="6:20" x14ac:dyDescent="0.35">
      <c r="F409" s="21"/>
      <c r="G409" s="22"/>
      <c r="H409" s="23"/>
      <c r="I409" s="23"/>
    </row>
    <row r="410" spans="6:20" x14ac:dyDescent="0.35">
      <c r="F410" s="21"/>
      <c r="G410" s="22"/>
      <c r="H410" s="23"/>
      <c r="I410" s="23"/>
    </row>
    <row r="411" spans="6:20" x14ac:dyDescent="0.35">
      <c r="F411" s="21"/>
      <c r="G411" s="22"/>
      <c r="H411" s="23"/>
      <c r="I411" s="23"/>
    </row>
    <row r="412" spans="6:20" x14ac:dyDescent="0.35">
      <c r="F412" s="21"/>
      <c r="G412" s="22"/>
      <c r="H412" s="23"/>
      <c r="I412" s="23"/>
    </row>
    <row r="413" spans="6:20" x14ac:dyDescent="0.35">
      <c r="F413" s="21"/>
      <c r="G413" s="22"/>
      <c r="H413" s="23"/>
      <c r="I413" s="23"/>
    </row>
    <row r="414" spans="6:20" x14ac:dyDescent="0.35">
      <c r="F414" s="21"/>
      <c r="G414" s="22"/>
      <c r="H414" s="23"/>
      <c r="I414" s="23"/>
      <c r="Q414" s="29"/>
      <c r="T414" s="26"/>
    </row>
    <row r="415" spans="6:20" x14ac:dyDescent="0.35">
      <c r="F415" s="21"/>
      <c r="G415" s="22"/>
      <c r="H415" s="23"/>
      <c r="I415" s="23"/>
      <c r="Q415" s="29"/>
      <c r="T415" s="26"/>
    </row>
    <row r="416" spans="6:20" x14ac:dyDescent="0.35">
      <c r="F416" s="21"/>
      <c r="G416" s="22"/>
      <c r="H416" s="23"/>
      <c r="I416" s="23"/>
      <c r="Q416" s="29"/>
      <c r="T416" s="26"/>
    </row>
    <row r="417" spans="2:20" x14ac:dyDescent="0.35">
      <c r="F417" s="21"/>
      <c r="G417" s="22"/>
      <c r="H417" s="23"/>
      <c r="I417" s="23"/>
      <c r="Q417" s="29"/>
      <c r="T417" s="26"/>
    </row>
    <row r="418" spans="2:20" x14ac:dyDescent="0.35">
      <c r="F418" s="21"/>
      <c r="G418" s="22"/>
      <c r="H418" s="23"/>
      <c r="I418" s="23"/>
      <c r="Q418" s="29"/>
      <c r="T418" s="26"/>
    </row>
    <row r="419" spans="2:20" x14ac:dyDescent="0.35">
      <c r="F419" s="21"/>
      <c r="G419" s="22"/>
      <c r="H419" s="23"/>
      <c r="I419" s="23"/>
      <c r="Q419" s="29"/>
      <c r="T419" s="26"/>
    </row>
    <row r="420" spans="2:20" x14ac:dyDescent="0.35">
      <c r="F420" s="21"/>
      <c r="G420" s="22"/>
      <c r="H420" s="23"/>
      <c r="I420" s="23"/>
      <c r="Q420" s="29"/>
      <c r="T420" s="26"/>
    </row>
    <row r="421" spans="2:20" x14ac:dyDescent="0.35">
      <c r="F421" s="21"/>
      <c r="G421" s="22"/>
      <c r="H421" s="23"/>
      <c r="I421" s="23"/>
      <c r="Q421" s="29"/>
      <c r="T421" s="26"/>
    </row>
    <row r="422" spans="2:20" x14ac:dyDescent="0.35">
      <c r="H422" s="23"/>
      <c r="I422" s="23"/>
      <c r="Q422" s="29"/>
      <c r="T422" s="26"/>
    </row>
    <row r="423" spans="2:20" x14ac:dyDescent="0.35">
      <c r="H423" s="23"/>
      <c r="I423" s="23"/>
      <c r="Q423" s="29"/>
      <c r="T423" s="26"/>
    </row>
    <row r="424" spans="2:20" x14ac:dyDescent="0.35">
      <c r="H424" s="23"/>
      <c r="I424" s="23"/>
      <c r="Q424" s="29"/>
      <c r="T424" s="26"/>
    </row>
    <row r="425" spans="2:20" x14ac:dyDescent="0.35">
      <c r="H425" s="23"/>
      <c r="I425" s="23"/>
      <c r="Q425" s="29"/>
      <c r="T425" s="26"/>
    </row>
    <row r="426" spans="2:20" ht="18" x14ac:dyDescent="0.4">
      <c r="B426" s="44" t="s">
        <v>12</v>
      </c>
      <c r="F426" s="21"/>
      <c r="G426" s="22"/>
      <c r="H426" s="23"/>
      <c r="I426" s="23"/>
      <c r="Q426" s="29"/>
      <c r="T426" s="26"/>
    </row>
    <row r="427" spans="2:20" x14ac:dyDescent="0.35">
      <c r="F427" s="21"/>
      <c r="G427" s="22"/>
      <c r="H427" s="23"/>
      <c r="I427" s="23"/>
      <c r="Q427" s="29"/>
      <c r="T427" s="26"/>
    </row>
    <row r="428" spans="2:20" ht="18.5" thickBot="1" x14ac:dyDescent="0.45">
      <c r="B428" s="44" t="s">
        <v>422</v>
      </c>
      <c r="C428" s="88" t="s">
        <v>2</v>
      </c>
      <c r="D428" s="20"/>
      <c r="F428" s="21"/>
      <c r="G428" s="22"/>
      <c r="H428" s="23"/>
      <c r="I428" s="23"/>
      <c r="Q428" s="29"/>
      <c r="T428" s="26"/>
    </row>
    <row r="429" spans="2:20" ht="16" thickBot="1" x14ac:dyDescent="0.4">
      <c r="B429" s="86" t="s">
        <v>419</v>
      </c>
      <c r="C429" s="154">
        <v>37</v>
      </c>
      <c r="D429" s="2" t="s">
        <v>8</v>
      </c>
      <c r="F429" s="21"/>
      <c r="G429" s="22"/>
      <c r="H429" s="23"/>
      <c r="I429" s="23"/>
      <c r="Q429" s="29"/>
      <c r="T429" s="26"/>
    </row>
    <row r="430" spans="2:20" x14ac:dyDescent="0.35">
      <c r="B430" s="86" t="s">
        <v>405</v>
      </c>
      <c r="C430" s="4">
        <f>C429+273</f>
        <v>310</v>
      </c>
      <c r="D430" s="2" t="s">
        <v>10</v>
      </c>
      <c r="F430" s="21"/>
      <c r="G430" s="22"/>
      <c r="H430" s="23"/>
      <c r="I430" s="23"/>
      <c r="Q430" s="29"/>
      <c r="T430" s="26"/>
    </row>
    <row r="431" spans="2:20" ht="16" thickBot="1" x14ac:dyDescent="0.4">
      <c r="B431" s="86"/>
      <c r="C431" s="4"/>
      <c r="D431" s="2"/>
      <c r="F431" s="21"/>
      <c r="G431" s="22"/>
      <c r="H431" s="23"/>
      <c r="I431" s="23"/>
      <c r="Q431" s="29"/>
      <c r="T431" s="26"/>
    </row>
    <row r="432" spans="2:20" ht="16" thickBot="1" x14ac:dyDescent="0.4">
      <c r="B432" s="86" t="s">
        <v>420</v>
      </c>
      <c r="C432" s="154">
        <v>100</v>
      </c>
      <c r="D432" s="2" t="s">
        <v>9</v>
      </c>
      <c r="F432" s="21"/>
      <c r="G432" s="22"/>
      <c r="H432" s="23"/>
      <c r="I432" s="23"/>
      <c r="Q432" s="29"/>
      <c r="T432" s="26"/>
    </row>
    <row r="433" spans="2:20" x14ac:dyDescent="0.35">
      <c r="B433" s="86" t="s">
        <v>421</v>
      </c>
      <c r="C433" s="4">
        <f>461+C432</f>
        <v>561</v>
      </c>
      <c r="D433" s="2" t="s">
        <v>11</v>
      </c>
      <c r="F433" s="21"/>
      <c r="G433" s="22"/>
      <c r="H433" s="23"/>
      <c r="I433" s="23"/>
      <c r="Q433" s="29"/>
      <c r="T433" s="26"/>
    </row>
    <row r="434" spans="2:20" ht="18" x14ac:dyDescent="0.4">
      <c r="B434" s="44" t="s">
        <v>1000</v>
      </c>
      <c r="F434" s="21"/>
      <c r="G434" s="22"/>
      <c r="H434" s="23"/>
      <c r="I434" s="23"/>
      <c r="Q434" s="29"/>
      <c r="T434" s="26"/>
    </row>
    <row r="435" spans="2:20" ht="16" thickBot="1" x14ac:dyDescent="0.4">
      <c r="C435" s="143" t="s">
        <v>2</v>
      </c>
      <c r="F435" s="21"/>
      <c r="G435" s="22"/>
      <c r="H435" s="23"/>
      <c r="I435" s="23"/>
      <c r="Q435" s="29"/>
      <c r="T435" s="26"/>
    </row>
    <row r="436" spans="2:20" x14ac:dyDescent="0.35">
      <c r="B436" s="29" t="s">
        <v>434</v>
      </c>
      <c r="C436" s="89">
        <v>200</v>
      </c>
      <c r="D436" s="2" t="s">
        <v>10</v>
      </c>
      <c r="F436" s="21"/>
      <c r="G436" s="22"/>
      <c r="H436" s="23"/>
      <c r="I436" s="23"/>
      <c r="Q436" s="29"/>
      <c r="T436" s="26"/>
    </row>
    <row r="437" spans="2:20" ht="16" thickBot="1" x14ac:dyDescent="0.4">
      <c r="B437" s="29" t="s">
        <v>435</v>
      </c>
      <c r="C437" s="91">
        <v>450</v>
      </c>
      <c r="D437" s="2" t="s">
        <v>10</v>
      </c>
      <c r="F437" s="21"/>
      <c r="G437" s="22"/>
      <c r="H437" s="23"/>
      <c r="I437" s="23"/>
      <c r="Q437" s="29"/>
      <c r="T437" s="26"/>
    </row>
    <row r="438" spans="2:20" x14ac:dyDescent="0.35">
      <c r="C438" s="143" t="s">
        <v>3</v>
      </c>
      <c r="F438" s="21"/>
      <c r="G438" s="22"/>
      <c r="H438" s="23"/>
      <c r="I438" s="23"/>
      <c r="Q438" s="29"/>
      <c r="T438" s="26"/>
    </row>
    <row r="439" spans="2:20" ht="17.5" x14ac:dyDescent="0.45">
      <c r="B439" s="86" t="s">
        <v>929</v>
      </c>
      <c r="C439" s="4" t="s">
        <v>930</v>
      </c>
      <c r="D439" s="4"/>
      <c r="F439" s="21"/>
      <c r="G439" s="22"/>
      <c r="H439" s="23"/>
      <c r="I439" s="23"/>
      <c r="Q439" s="29"/>
      <c r="T439" s="26"/>
    </row>
    <row r="440" spans="2:20" x14ac:dyDescent="0.35">
      <c r="B440" s="107" t="s">
        <v>4</v>
      </c>
      <c r="C440" s="155">
        <f>(C437-C436)/C437</f>
        <v>0.55555555555555558</v>
      </c>
      <c r="D440" s="4"/>
      <c r="F440" s="21"/>
      <c r="G440" s="22"/>
      <c r="H440" s="23"/>
      <c r="I440" s="23"/>
      <c r="Q440" s="29"/>
      <c r="T440" s="26"/>
    </row>
    <row r="441" spans="2:20" x14ac:dyDescent="0.35">
      <c r="F441" s="21"/>
      <c r="G441" s="22"/>
      <c r="H441" s="23"/>
      <c r="I441" s="23"/>
      <c r="Q441" s="29"/>
      <c r="T441" s="26"/>
    </row>
    <row r="442" spans="2:20" x14ac:dyDescent="0.35">
      <c r="F442" s="21"/>
      <c r="G442" s="22"/>
      <c r="H442" s="23"/>
      <c r="I442" s="23"/>
      <c r="Q442" s="29"/>
      <c r="T442" s="26"/>
    </row>
    <row r="443" spans="2:20" ht="18" x14ac:dyDescent="0.4">
      <c r="B443" s="44" t="s">
        <v>441</v>
      </c>
      <c r="F443" s="21"/>
      <c r="G443" s="22"/>
      <c r="H443" s="23"/>
      <c r="I443" s="23"/>
      <c r="Q443" s="29"/>
      <c r="T443" s="26"/>
    </row>
    <row r="444" spans="2:20" ht="16" thickBot="1" x14ac:dyDescent="0.4">
      <c r="C444" s="143" t="s">
        <v>2</v>
      </c>
      <c r="F444" s="21"/>
      <c r="G444" s="22"/>
      <c r="H444" s="23"/>
      <c r="I444" s="23"/>
      <c r="Q444" s="29"/>
      <c r="T444" s="26"/>
    </row>
    <row r="445" spans="2:20" x14ac:dyDescent="0.35">
      <c r="B445" s="29" t="s">
        <v>425</v>
      </c>
      <c r="C445" s="89">
        <v>100</v>
      </c>
      <c r="D445" s="27" t="s">
        <v>68</v>
      </c>
      <c r="F445" s="21"/>
      <c r="G445" s="22"/>
      <c r="H445" s="23"/>
      <c r="I445" s="23"/>
      <c r="Q445" s="29"/>
      <c r="T445" s="26"/>
    </row>
    <row r="446" spans="2:20" x14ac:dyDescent="0.35">
      <c r="B446" s="29" t="s">
        <v>430</v>
      </c>
      <c r="C446" s="135">
        <v>100</v>
      </c>
      <c r="D446" s="27" t="s">
        <v>8</v>
      </c>
      <c r="F446" s="21"/>
      <c r="G446" s="22"/>
      <c r="H446" s="23"/>
      <c r="I446" s="23"/>
      <c r="Q446" s="29"/>
      <c r="T446" s="26"/>
    </row>
    <row r="447" spans="2:20" x14ac:dyDescent="0.35">
      <c r="B447" s="29" t="s">
        <v>431</v>
      </c>
      <c r="C447" s="135">
        <v>1000</v>
      </c>
      <c r="D447" s="27" t="s">
        <v>8</v>
      </c>
      <c r="F447" s="21"/>
      <c r="G447" s="22"/>
      <c r="H447" s="23"/>
      <c r="I447" s="23"/>
      <c r="Q447" s="29"/>
      <c r="T447" s="26"/>
    </row>
    <row r="448" spans="2:20" ht="16" thickBot="1" x14ac:dyDescent="0.4">
      <c r="B448" s="29" t="s">
        <v>931</v>
      </c>
      <c r="C448" s="91">
        <v>1200</v>
      </c>
      <c r="D448" s="27" t="s">
        <v>436</v>
      </c>
      <c r="F448" s="21"/>
      <c r="G448" s="22"/>
      <c r="H448" s="23"/>
      <c r="I448" s="23"/>
      <c r="Q448" s="29"/>
      <c r="T448" s="26"/>
    </row>
    <row r="449" spans="2:20" x14ac:dyDescent="0.35">
      <c r="C449" s="143" t="s">
        <v>3</v>
      </c>
      <c r="F449" s="21"/>
      <c r="G449" s="22"/>
      <c r="H449" s="23"/>
      <c r="I449" s="23"/>
      <c r="Q449" s="29"/>
      <c r="T449" s="26"/>
    </row>
    <row r="450" spans="2:20" x14ac:dyDescent="0.35">
      <c r="B450" s="86" t="s">
        <v>432</v>
      </c>
      <c r="C450" s="4" t="s">
        <v>423</v>
      </c>
      <c r="D450" s="4"/>
      <c r="F450" s="21"/>
      <c r="G450" s="22"/>
      <c r="H450" s="23"/>
      <c r="I450" s="23"/>
      <c r="Q450" s="29"/>
      <c r="T450" s="26"/>
    </row>
    <row r="451" spans="2:20" x14ac:dyDescent="0.35">
      <c r="B451" s="86" t="s">
        <v>4</v>
      </c>
      <c r="C451" s="4">
        <f>C446+273</f>
        <v>373</v>
      </c>
      <c r="D451" s="4" t="s">
        <v>10</v>
      </c>
      <c r="F451" s="21"/>
      <c r="G451" s="22"/>
      <c r="H451" s="23"/>
      <c r="I451" s="23"/>
      <c r="Q451" s="29"/>
      <c r="T451" s="26"/>
    </row>
    <row r="452" spans="2:20" x14ac:dyDescent="0.35">
      <c r="B452" s="86" t="s">
        <v>433</v>
      </c>
      <c r="C452" s="4" t="s">
        <v>423</v>
      </c>
      <c r="D452" s="4"/>
      <c r="F452" s="21"/>
      <c r="G452" s="22"/>
      <c r="H452" s="23"/>
      <c r="I452" s="23"/>
      <c r="Q452" s="29"/>
      <c r="T452" s="26"/>
    </row>
    <row r="453" spans="2:20" x14ac:dyDescent="0.35">
      <c r="B453" s="86" t="s">
        <v>4</v>
      </c>
      <c r="C453" s="4">
        <f>C447+273</f>
        <v>1273</v>
      </c>
      <c r="D453" s="4" t="s">
        <v>10</v>
      </c>
      <c r="F453" s="21"/>
      <c r="G453" s="22"/>
      <c r="H453" s="23"/>
      <c r="I453" s="23"/>
      <c r="Q453" s="29"/>
      <c r="T453" s="26"/>
    </row>
    <row r="454" spans="2:20" ht="17.5" x14ac:dyDescent="0.45">
      <c r="B454" s="86" t="s">
        <v>932</v>
      </c>
      <c r="C454" s="4" t="s">
        <v>933</v>
      </c>
      <c r="D454" s="4"/>
      <c r="F454" s="21"/>
      <c r="G454" s="22"/>
      <c r="H454" s="23"/>
      <c r="I454" s="23"/>
      <c r="Q454" s="29"/>
      <c r="T454" s="26"/>
    </row>
    <row r="455" spans="2:20" x14ac:dyDescent="0.35">
      <c r="B455" s="86" t="s">
        <v>4</v>
      </c>
      <c r="C455" s="156">
        <f>1-(C451)/C453</f>
        <v>0.70699135899450116</v>
      </c>
      <c r="D455" s="4" t="s">
        <v>418</v>
      </c>
      <c r="F455" s="21"/>
      <c r="G455" s="22"/>
      <c r="H455" s="23"/>
      <c r="I455" s="23"/>
      <c r="Q455" s="29"/>
      <c r="T455" s="26"/>
    </row>
    <row r="456" spans="2:20" x14ac:dyDescent="0.35">
      <c r="B456" s="86" t="s">
        <v>424</v>
      </c>
      <c r="C456" s="4" t="s">
        <v>426</v>
      </c>
      <c r="D456" s="4"/>
      <c r="F456" s="21"/>
      <c r="G456" s="22"/>
      <c r="H456" s="23"/>
      <c r="I456" s="23"/>
      <c r="Q456" s="29"/>
      <c r="T456" s="26"/>
    </row>
    <row r="457" spans="2:20" x14ac:dyDescent="0.35">
      <c r="B457" s="86" t="s">
        <v>4</v>
      </c>
      <c r="C457" s="138">
        <f>C445/(C455)</f>
        <v>141.44444444444446</v>
      </c>
      <c r="D457" s="4" t="s">
        <v>68</v>
      </c>
      <c r="F457" s="21"/>
      <c r="G457" s="22"/>
      <c r="H457" s="23"/>
      <c r="I457" s="23"/>
      <c r="Q457" s="29"/>
      <c r="T457" s="26"/>
    </row>
    <row r="458" spans="2:20" x14ac:dyDescent="0.35">
      <c r="B458" s="86" t="s">
        <v>428</v>
      </c>
      <c r="C458" s="157" t="s">
        <v>427</v>
      </c>
      <c r="D458" s="4"/>
      <c r="F458" s="21"/>
      <c r="G458" s="22"/>
      <c r="H458" s="23"/>
      <c r="I458" s="23"/>
      <c r="Q458" s="29"/>
      <c r="T458" s="26"/>
    </row>
    <row r="459" spans="2:20" x14ac:dyDescent="0.35">
      <c r="B459" s="86" t="s">
        <v>4</v>
      </c>
      <c r="C459" s="138">
        <f>C457-C445</f>
        <v>41.444444444444457</v>
      </c>
      <c r="D459" s="4" t="s">
        <v>68</v>
      </c>
      <c r="F459" s="21"/>
      <c r="G459" s="22"/>
      <c r="H459" s="23"/>
      <c r="I459" s="23"/>
      <c r="Q459" s="29"/>
      <c r="T459" s="26"/>
    </row>
    <row r="460" spans="2:20" x14ac:dyDescent="0.35">
      <c r="B460" s="86" t="s">
        <v>429</v>
      </c>
      <c r="C460" s="158" t="s">
        <v>438</v>
      </c>
      <c r="D460" s="4"/>
      <c r="F460" s="21"/>
      <c r="G460" s="22"/>
      <c r="H460" s="23"/>
      <c r="I460" s="23"/>
      <c r="Q460" s="29"/>
      <c r="T460" s="26"/>
    </row>
    <row r="461" spans="2:20" x14ac:dyDescent="0.35">
      <c r="B461" s="86" t="s">
        <v>4</v>
      </c>
      <c r="C461" s="138">
        <f>-C457*C448/C453</f>
        <v>-133.33333333333334</v>
      </c>
      <c r="D461" s="4" t="s">
        <v>453</v>
      </c>
      <c r="F461" s="21"/>
      <c r="G461" s="22"/>
      <c r="H461" s="23"/>
      <c r="I461" s="23"/>
      <c r="Q461" s="29"/>
      <c r="T461" s="26"/>
    </row>
    <row r="462" spans="2:20" x14ac:dyDescent="0.35">
      <c r="B462" s="86" t="s">
        <v>437</v>
      </c>
      <c r="C462" s="4" t="s">
        <v>439</v>
      </c>
      <c r="D462" s="4"/>
      <c r="F462" s="21"/>
      <c r="G462" s="22"/>
      <c r="H462" s="23"/>
      <c r="I462" s="23"/>
      <c r="Q462" s="29"/>
      <c r="T462" s="26"/>
    </row>
    <row r="463" spans="2:20" x14ac:dyDescent="0.35">
      <c r="B463" s="86" t="s">
        <v>4</v>
      </c>
      <c r="C463" s="138">
        <f>C459*C448/C451</f>
        <v>133.33333333333337</v>
      </c>
      <c r="D463" s="4" t="s">
        <v>453</v>
      </c>
      <c r="F463" s="21"/>
      <c r="G463" s="22"/>
      <c r="H463" s="23"/>
      <c r="I463" s="23"/>
      <c r="Q463" s="29"/>
      <c r="T463" s="26"/>
    </row>
    <row r="464" spans="2:20" ht="17.5" x14ac:dyDescent="0.45">
      <c r="B464" s="86" t="s">
        <v>934</v>
      </c>
      <c r="C464" s="4" t="s">
        <v>440</v>
      </c>
      <c r="D464" s="4"/>
      <c r="F464" s="21"/>
      <c r="G464" s="22"/>
      <c r="H464" s="23"/>
      <c r="I464" s="23"/>
      <c r="Q464" s="29"/>
      <c r="T464" s="26"/>
    </row>
    <row r="465" spans="2:20" x14ac:dyDescent="0.35">
      <c r="B465" s="86"/>
      <c r="C465" s="4">
        <v>0</v>
      </c>
      <c r="D465" s="4" t="s">
        <v>453</v>
      </c>
      <c r="F465" s="21"/>
      <c r="G465" s="22"/>
      <c r="H465" s="23"/>
      <c r="I465" s="23"/>
      <c r="Q465" s="29"/>
      <c r="T465" s="26"/>
    </row>
    <row r="466" spans="2:20" x14ac:dyDescent="0.35">
      <c r="F466" s="21"/>
      <c r="G466" s="22"/>
      <c r="H466" s="23"/>
      <c r="I466" s="23"/>
      <c r="Q466" s="29"/>
      <c r="T466" s="26"/>
    </row>
    <row r="467" spans="2:20" x14ac:dyDescent="0.35">
      <c r="F467" s="21"/>
      <c r="G467" s="22"/>
      <c r="H467" s="23"/>
      <c r="I467" s="23"/>
      <c r="Q467" s="29"/>
      <c r="T467" s="26"/>
    </row>
    <row r="468" spans="2:20" x14ac:dyDescent="0.35">
      <c r="F468" s="21"/>
      <c r="G468" s="22"/>
      <c r="H468" s="23"/>
      <c r="I468" s="23"/>
      <c r="Q468" s="29"/>
      <c r="T468" s="26"/>
    </row>
    <row r="469" spans="2:20" x14ac:dyDescent="0.35">
      <c r="F469" s="21"/>
      <c r="G469" s="14"/>
      <c r="H469" s="23"/>
      <c r="I469" s="23"/>
      <c r="Q469" s="29"/>
      <c r="T469" s="26"/>
    </row>
    <row r="470" spans="2:20" x14ac:dyDescent="0.35">
      <c r="F470" s="21"/>
      <c r="G470" s="22"/>
      <c r="H470" s="23"/>
      <c r="I470" s="23"/>
      <c r="Q470" s="29"/>
      <c r="T470" s="26"/>
    </row>
    <row r="471" spans="2:20" x14ac:dyDescent="0.35">
      <c r="F471" s="21"/>
      <c r="G471" s="22"/>
      <c r="H471" s="23"/>
      <c r="I471" s="23"/>
      <c r="Q471" s="29"/>
      <c r="T471" s="26"/>
    </row>
    <row r="472" spans="2:20" x14ac:dyDescent="0.35">
      <c r="F472" s="21"/>
      <c r="G472" s="22"/>
      <c r="H472" s="23"/>
      <c r="I472" s="23"/>
      <c r="Q472" s="29"/>
      <c r="T472" s="26"/>
    </row>
    <row r="473" spans="2:20" x14ac:dyDescent="0.35">
      <c r="F473" s="21"/>
      <c r="G473" s="22"/>
      <c r="H473" s="23"/>
      <c r="I473" s="23"/>
      <c r="Q473" s="29"/>
      <c r="T473" s="26"/>
    </row>
    <row r="474" spans="2:20" x14ac:dyDescent="0.35">
      <c r="F474" s="21"/>
      <c r="G474" s="22"/>
      <c r="H474" s="23"/>
      <c r="I474" s="23"/>
      <c r="Q474" s="29"/>
      <c r="T474" s="26"/>
    </row>
    <row r="475" spans="2:20" x14ac:dyDescent="0.35">
      <c r="F475" s="21"/>
      <c r="G475" s="22"/>
      <c r="H475" s="23"/>
      <c r="I475" s="23"/>
      <c r="Q475" s="29"/>
      <c r="T475" s="26"/>
    </row>
    <row r="476" spans="2:20" x14ac:dyDescent="0.35">
      <c r="F476" s="21"/>
      <c r="G476" s="22"/>
      <c r="H476" s="23"/>
      <c r="I476" s="23"/>
      <c r="Q476" s="29"/>
      <c r="T476" s="26"/>
    </row>
    <row r="477" spans="2:20" x14ac:dyDescent="0.35">
      <c r="F477" s="21"/>
      <c r="G477" s="22"/>
      <c r="H477" s="23"/>
      <c r="I477" s="23"/>
      <c r="Q477" s="29"/>
      <c r="T477" s="26"/>
    </row>
    <row r="478" spans="2:20" x14ac:dyDescent="0.35">
      <c r="F478" s="21"/>
      <c r="G478" s="22"/>
      <c r="H478" s="23"/>
      <c r="I478" s="23"/>
      <c r="Q478" s="29"/>
      <c r="T478" s="26"/>
    </row>
    <row r="479" spans="2:20" x14ac:dyDescent="0.35">
      <c r="F479" s="21"/>
      <c r="G479" s="22"/>
      <c r="H479" s="23"/>
      <c r="I479" s="23"/>
      <c r="Q479" s="29"/>
      <c r="T479" s="26"/>
    </row>
    <row r="480" spans="2:20" ht="18" x14ac:dyDescent="0.4">
      <c r="B480" s="44" t="s">
        <v>447</v>
      </c>
      <c r="F480" s="21"/>
      <c r="G480" s="22"/>
      <c r="H480" s="23"/>
      <c r="I480" s="23"/>
      <c r="Q480" s="29"/>
      <c r="T480" s="26"/>
    </row>
    <row r="481" spans="2:20" ht="16" thickBot="1" x14ac:dyDescent="0.4">
      <c r="C481" s="88" t="s">
        <v>2</v>
      </c>
      <c r="F481" s="21"/>
      <c r="G481" s="22"/>
      <c r="H481" s="23"/>
      <c r="I481" s="23"/>
      <c r="Q481" s="29"/>
      <c r="T481" s="26"/>
    </row>
    <row r="482" spans="2:20" x14ac:dyDescent="0.35">
      <c r="B482" s="29" t="s">
        <v>442</v>
      </c>
      <c r="C482" s="89">
        <v>2</v>
      </c>
      <c r="D482" s="27" t="s">
        <v>443</v>
      </c>
      <c r="F482" s="21"/>
      <c r="G482" s="22"/>
      <c r="H482" s="23"/>
      <c r="I482" s="23"/>
      <c r="Q482" s="29"/>
      <c r="T482" s="26"/>
    </row>
    <row r="483" spans="2:20" x14ac:dyDescent="0.35">
      <c r="B483" s="29" t="s">
        <v>445</v>
      </c>
      <c r="C483" s="135">
        <v>0.8</v>
      </c>
      <c r="D483" s="27" t="s">
        <v>446</v>
      </c>
      <c r="F483" s="21"/>
      <c r="G483" s="22"/>
      <c r="H483" s="23"/>
      <c r="I483" s="23"/>
      <c r="Q483" s="29"/>
      <c r="T483" s="26"/>
    </row>
    <row r="484" spans="2:20" x14ac:dyDescent="0.35">
      <c r="B484" s="29" t="s">
        <v>444</v>
      </c>
      <c r="C484" s="135">
        <v>200</v>
      </c>
      <c r="D484" s="27" t="s">
        <v>28</v>
      </c>
      <c r="F484" s="21"/>
      <c r="G484" s="22"/>
      <c r="H484" s="23"/>
      <c r="I484" s="23"/>
      <c r="Q484" s="29"/>
      <c r="T484" s="26"/>
    </row>
    <row r="485" spans="2:20" ht="16" thickBot="1" x14ac:dyDescent="0.4">
      <c r="B485" s="29" t="s">
        <v>454</v>
      </c>
      <c r="C485" s="91">
        <v>500</v>
      </c>
      <c r="D485" s="27" t="s">
        <v>8</v>
      </c>
      <c r="F485" s="21"/>
      <c r="G485" s="22"/>
      <c r="H485" s="23"/>
      <c r="I485" s="23"/>
      <c r="Q485" s="29"/>
      <c r="T485" s="26"/>
    </row>
    <row r="486" spans="2:20" x14ac:dyDescent="0.35">
      <c r="C486" s="88" t="s">
        <v>3</v>
      </c>
      <c r="F486" s="21"/>
      <c r="G486" s="22"/>
      <c r="H486" s="23"/>
      <c r="I486" s="23"/>
      <c r="Q486" s="29"/>
      <c r="T486" s="26"/>
    </row>
    <row r="487" spans="2:20" x14ac:dyDescent="0.35">
      <c r="B487" s="29" t="s">
        <v>74</v>
      </c>
      <c r="C487" s="27">
        <v>0.28699999999999998</v>
      </c>
      <c r="D487" s="27" t="s">
        <v>449</v>
      </c>
      <c r="F487" s="21"/>
      <c r="G487" s="22"/>
      <c r="H487" s="23"/>
      <c r="I487" s="23"/>
      <c r="Q487" s="29"/>
      <c r="T487" s="26"/>
    </row>
    <row r="488" spans="2:20" x14ac:dyDescent="0.35">
      <c r="B488" s="29" t="s">
        <v>450</v>
      </c>
      <c r="C488" s="27" t="s">
        <v>448</v>
      </c>
      <c r="F488" s="21"/>
      <c r="G488" s="22"/>
      <c r="H488" s="23"/>
      <c r="I488" s="23"/>
      <c r="Q488" s="29"/>
      <c r="T488" s="26"/>
    </row>
    <row r="489" spans="2:20" x14ac:dyDescent="0.35">
      <c r="B489" s="29" t="s">
        <v>4</v>
      </c>
      <c r="C489" s="92">
        <f>(C484*C483)/(C482*C487)</f>
        <v>278.74564459930315</v>
      </c>
      <c r="D489" s="27" t="s">
        <v>22</v>
      </c>
      <c r="E489" s="159"/>
      <c r="F489" s="160"/>
      <c r="G489" s="22"/>
      <c r="H489" s="23"/>
      <c r="I489" s="23"/>
      <c r="Q489" s="29"/>
      <c r="T489" s="26"/>
    </row>
    <row r="490" spans="2:20" x14ac:dyDescent="0.35">
      <c r="B490" s="29" t="s">
        <v>452</v>
      </c>
      <c r="C490" s="27" t="s">
        <v>455</v>
      </c>
      <c r="F490" s="21"/>
      <c r="G490" s="22"/>
      <c r="H490" s="23"/>
      <c r="I490" s="23"/>
      <c r="Q490" s="29"/>
      <c r="T490" s="26"/>
    </row>
    <row r="491" spans="2:20" x14ac:dyDescent="0.35">
      <c r="B491" s="29" t="s">
        <v>4</v>
      </c>
      <c r="C491" s="27">
        <f>C485+273</f>
        <v>773</v>
      </c>
      <c r="F491" s="21"/>
      <c r="G491" s="22"/>
      <c r="H491" s="23"/>
      <c r="I491" s="23"/>
      <c r="Q491" s="29"/>
      <c r="T491" s="26"/>
    </row>
    <row r="492" spans="2:20" x14ac:dyDescent="0.35">
      <c r="B492" s="29" t="s">
        <v>935</v>
      </c>
      <c r="C492" s="27" t="s">
        <v>451</v>
      </c>
      <c r="F492" s="21"/>
      <c r="G492" s="22"/>
      <c r="H492" s="23"/>
      <c r="I492" s="23"/>
      <c r="Q492" s="29"/>
      <c r="T492" s="26"/>
    </row>
    <row r="493" spans="2:20" x14ac:dyDescent="0.35">
      <c r="B493" s="29" t="s">
        <v>4</v>
      </c>
      <c r="C493" s="161">
        <f>C482*((1*LN(C491/C489)-(C487*LN(1))))</f>
        <v>2.0399587013820488</v>
      </c>
      <c r="D493" s="27" t="s">
        <v>453</v>
      </c>
      <c r="F493" s="21"/>
      <c r="G493" s="22"/>
      <c r="H493" s="23"/>
      <c r="I493" s="23"/>
      <c r="Q493" s="29"/>
      <c r="T493" s="26"/>
    </row>
    <row r="494" spans="2:20" x14ac:dyDescent="0.35">
      <c r="E494" s="27"/>
      <c r="F494" s="23"/>
      <c r="G494" s="22"/>
      <c r="H494" s="23"/>
      <c r="I494" s="23"/>
      <c r="Q494" s="29"/>
      <c r="T494" s="26"/>
    </row>
    <row r="495" spans="2:20" x14ac:dyDescent="0.35">
      <c r="E495" s="27"/>
      <c r="F495" s="23"/>
      <c r="G495" s="22"/>
      <c r="H495" s="23"/>
      <c r="I495" s="23"/>
      <c r="Q495" s="29"/>
      <c r="T495" s="26"/>
    </row>
    <row r="496" spans="2:20" x14ac:dyDescent="0.35">
      <c r="E496" s="27"/>
      <c r="F496" s="23"/>
      <c r="G496" s="22"/>
      <c r="H496" s="23"/>
      <c r="I496" s="23"/>
      <c r="Q496" s="29"/>
      <c r="T496" s="26"/>
    </row>
    <row r="497" spans="5:20" x14ac:dyDescent="0.35">
      <c r="E497" s="27"/>
      <c r="F497" s="23"/>
      <c r="G497" s="22"/>
      <c r="H497" s="23"/>
      <c r="I497" s="23"/>
      <c r="Q497" s="29"/>
      <c r="T497" s="26"/>
    </row>
    <row r="498" spans="5:20" x14ac:dyDescent="0.35">
      <c r="E498" s="27"/>
      <c r="F498" s="23"/>
      <c r="G498" s="22"/>
      <c r="H498" s="23"/>
      <c r="I498" s="23"/>
      <c r="Q498" s="29"/>
      <c r="T498" s="26"/>
    </row>
    <row r="499" spans="5:20" x14ac:dyDescent="0.35">
      <c r="E499" s="27"/>
      <c r="F499" s="23"/>
      <c r="G499" s="22"/>
      <c r="H499" s="23"/>
      <c r="I499" s="23"/>
      <c r="Q499" s="29"/>
      <c r="T499" s="26"/>
    </row>
    <row r="500" spans="5:20" x14ac:dyDescent="0.35">
      <c r="E500" s="27"/>
      <c r="F500" s="23"/>
      <c r="G500" s="22"/>
      <c r="H500" s="23"/>
      <c r="I500" s="23"/>
      <c r="Q500" s="29"/>
      <c r="T500" s="26"/>
    </row>
    <row r="501" spans="5:20" x14ac:dyDescent="0.35">
      <c r="E501" s="27"/>
      <c r="F501" s="23"/>
      <c r="G501" s="22"/>
      <c r="H501" s="23"/>
      <c r="I501" s="23"/>
      <c r="Q501" s="29"/>
      <c r="T501" s="26"/>
    </row>
    <row r="502" spans="5:20" x14ac:dyDescent="0.35">
      <c r="E502" s="27"/>
      <c r="F502" s="23"/>
      <c r="G502" s="22"/>
      <c r="H502" s="23"/>
      <c r="I502" s="23"/>
      <c r="Q502" s="29"/>
      <c r="T502" s="26"/>
    </row>
    <row r="503" spans="5:20" x14ac:dyDescent="0.35">
      <c r="E503" s="27"/>
      <c r="F503" s="23"/>
      <c r="G503" s="22"/>
      <c r="H503" s="23"/>
      <c r="I503" s="23"/>
      <c r="Q503" s="29"/>
      <c r="T503" s="26"/>
    </row>
    <row r="504" spans="5:20" x14ac:dyDescent="0.35">
      <c r="E504" s="27"/>
      <c r="F504" s="23"/>
      <c r="G504" s="22"/>
      <c r="H504" s="23"/>
      <c r="I504" s="23"/>
      <c r="Q504" s="29"/>
      <c r="T504" s="26"/>
    </row>
    <row r="505" spans="5:20" x14ac:dyDescent="0.35">
      <c r="E505" s="27"/>
      <c r="F505" s="23"/>
      <c r="G505" s="22"/>
      <c r="H505" s="23"/>
      <c r="I505" s="23"/>
      <c r="Q505" s="29"/>
      <c r="T505" s="26"/>
    </row>
    <row r="506" spans="5:20" x14ac:dyDescent="0.35">
      <c r="E506" s="27"/>
      <c r="F506" s="23"/>
      <c r="G506" s="22"/>
      <c r="H506" s="23"/>
      <c r="I506" s="23"/>
      <c r="Q506" s="29"/>
      <c r="T506" s="26"/>
    </row>
    <row r="507" spans="5:20" x14ac:dyDescent="0.35">
      <c r="E507" s="27"/>
      <c r="F507" s="23"/>
      <c r="G507" s="22"/>
      <c r="H507" s="23"/>
      <c r="I507" s="23"/>
      <c r="Q507" s="29"/>
      <c r="T507" s="26"/>
    </row>
    <row r="508" spans="5:20" x14ac:dyDescent="0.35">
      <c r="E508" s="27"/>
      <c r="F508" s="23"/>
      <c r="G508" s="22"/>
      <c r="H508" s="23"/>
      <c r="I508" s="23"/>
      <c r="Q508" s="29"/>
      <c r="T508" s="26"/>
    </row>
    <row r="509" spans="5:20" x14ac:dyDescent="0.35">
      <c r="E509" s="27"/>
      <c r="F509" s="23"/>
      <c r="G509" s="22"/>
      <c r="H509" s="23"/>
      <c r="I509" s="23"/>
      <c r="Q509" s="29"/>
      <c r="T509" s="26"/>
    </row>
    <row r="510" spans="5:20" x14ac:dyDescent="0.35">
      <c r="E510" s="27"/>
      <c r="F510" s="23"/>
      <c r="G510" s="22"/>
      <c r="H510" s="23"/>
      <c r="I510" s="23"/>
      <c r="Q510" s="29"/>
      <c r="T510" s="26"/>
    </row>
    <row r="511" spans="5:20" x14ac:dyDescent="0.35">
      <c r="E511" s="27"/>
      <c r="F511" s="23"/>
      <c r="G511" s="22"/>
      <c r="H511" s="23"/>
      <c r="I511" s="23"/>
      <c r="Q511" s="29"/>
      <c r="T511" s="26"/>
    </row>
    <row r="512" spans="5:20" x14ac:dyDescent="0.35">
      <c r="E512" s="27"/>
      <c r="F512" s="23"/>
      <c r="G512" s="22"/>
      <c r="H512" s="23"/>
      <c r="I512" s="23"/>
      <c r="Q512" s="29"/>
      <c r="T512" s="26"/>
    </row>
    <row r="513" spans="5:20" x14ac:dyDescent="0.35">
      <c r="E513" s="27"/>
      <c r="F513" s="23"/>
      <c r="G513" s="22"/>
      <c r="H513" s="23"/>
      <c r="I513" s="23"/>
      <c r="Q513" s="29"/>
      <c r="T513" s="26"/>
    </row>
    <row r="514" spans="5:20" x14ac:dyDescent="0.35">
      <c r="E514" s="27"/>
      <c r="F514" s="23"/>
      <c r="G514" s="22"/>
      <c r="H514" s="23"/>
      <c r="I514" s="23"/>
      <c r="Q514" s="29"/>
      <c r="T514" s="26"/>
    </row>
    <row r="515" spans="5:20" x14ac:dyDescent="0.35">
      <c r="E515" s="27"/>
      <c r="F515" s="23"/>
      <c r="G515" s="22"/>
      <c r="H515" s="23"/>
      <c r="I515" s="23"/>
      <c r="Q515" s="29"/>
      <c r="T515" s="26"/>
    </row>
    <row r="516" spans="5:20" x14ac:dyDescent="0.35">
      <c r="E516" s="27"/>
      <c r="F516" s="23"/>
      <c r="G516" s="22"/>
      <c r="H516" s="23"/>
      <c r="I516" s="23"/>
      <c r="Q516" s="29"/>
      <c r="T516" s="26"/>
    </row>
    <row r="517" spans="5:20" x14ac:dyDescent="0.35">
      <c r="E517" s="27"/>
      <c r="F517" s="23"/>
      <c r="G517" s="22"/>
      <c r="H517" s="23"/>
      <c r="I517" s="23"/>
      <c r="Q517" s="29"/>
      <c r="T517" s="26"/>
    </row>
    <row r="518" spans="5:20" x14ac:dyDescent="0.35">
      <c r="E518" s="27"/>
      <c r="F518" s="23"/>
      <c r="G518" s="22"/>
      <c r="H518" s="23"/>
      <c r="I518" s="23"/>
      <c r="Q518" s="29"/>
      <c r="T518" s="26"/>
    </row>
    <row r="519" spans="5:20" x14ac:dyDescent="0.35">
      <c r="E519" s="27"/>
      <c r="F519" s="23"/>
      <c r="G519" s="145"/>
      <c r="H519" s="23"/>
      <c r="I519" s="23"/>
      <c r="Q519" s="29"/>
      <c r="T519" s="26"/>
    </row>
    <row r="520" spans="5:20" x14ac:dyDescent="0.35">
      <c r="E520" s="27"/>
      <c r="F520" s="23"/>
      <c r="G520" s="144"/>
      <c r="H520" s="23"/>
      <c r="I520" s="23"/>
      <c r="Q520" s="29"/>
      <c r="T520" s="26"/>
    </row>
    <row r="521" spans="5:20" x14ac:dyDescent="0.35">
      <c r="E521" s="27"/>
      <c r="F521" s="23"/>
      <c r="G521" s="22"/>
      <c r="H521" s="23"/>
      <c r="I521" s="23"/>
      <c r="Q521" s="29"/>
      <c r="T521" s="26"/>
    </row>
    <row r="522" spans="5:20" x14ac:dyDescent="0.35">
      <c r="E522" s="27"/>
      <c r="F522" s="23"/>
      <c r="G522" s="22"/>
      <c r="H522" s="23"/>
      <c r="I522" s="23"/>
      <c r="Q522" s="29"/>
      <c r="T522" s="26"/>
    </row>
    <row r="523" spans="5:20" x14ac:dyDescent="0.35">
      <c r="E523" s="27"/>
      <c r="F523" s="23"/>
      <c r="G523" s="22"/>
      <c r="H523" s="23"/>
      <c r="I523" s="23"/>
      <c r="Q523" s="29"/>
      <c r="T523" s="26"/>
    </row>
    <row r="524" spans="5:20" x14ac:dyDescent="0.35">
      <c r="E524" s="27"/>
      <c r="F524" s="23"/>
      <c r="G524" s="22"/>
      <c r="H524" s="23"/>
      <c r="I524" s="23"/>
      <c r="Q524" s="29"/>
      <c r="T524" s="26"/>
    </row>
    <row r="525" spans="5:20" x14ac:dyDescent="0.35">
      <c r="E525" s="27"/>
      <c r="F525" s="23"/>
      <c r="G525" s="22"/>
      <c r="H525" s="23"/>
      <c r="I525" s="23"/>
      <c r="Q525" s="29"/>
      <c r="T525" s="26"/>
    </row>
    <row r="526" spans="5:20" x14ac:dyDescent="0.35">
      <c r="E526" s="27"/>
      <c r="F526" s="23"/>
      <c r="G526" s="22"/>
      <c r="H526" s="23"/>
      <c r="I526" s="23"/>
      <c r="Q526" s="29"/>
      <c r="T526" s="26"/>
    </row>
    <row r="527" spans="5:20" x14ac:dyDescent="0.35">
      <c r="E527" s="27"/>
      <c r="F527" s="23"/>
      <c r="G527" s="22"/>
      <c r="H527" s="23"/>
      <c r="I527" s="23"/>
      <c r="Q527" s="29"/>
      <c r="T527" s="26"/>
    </row>
    <row r="528" spans="5:20" x14ac:dyDescent="0.35">
      <c r="E528" s="27"/>
      <c r="F528" s="23"/>
      <c r="G528" s="22"/>
      <c r="H528" s="23"/>
      <c r="I528" s="23"/>
      <c r="Q528" s="29"/>
      <c r="T528" s="26"/>
    </row>
    <row r="529" spans="2:20" x14ac:dyDescent="0.35">
      <c r="E529" s="27"/>
      <c r="F529" s="23"/>
      <c r="G529" s="22"/>
      <c r="H529" s="23"/>
      <c r="I529" s="23"/>
      <c r="Q529" s="29"/>
      <c r="T529" s="26"/>
    </row>
    <row r="530" spans="2:20" x14ac:dyDescent="0.35">
      <c r="E530" s="27"/>
      <c r="F530" s="23"/>
      <c r="G530" s="22"/>
      <c r="H530" s="23"/>
      <c r="I530" s="23"/>
      <c r="Q530" s="29"/>
      <c r="T530" s="26"/>
    </row>
    <row r="531" spans="2:20" x14ac:dyDescent="0.35">
      <c r="E531" s="27"/>
      <c r="F531" s="23"/>
      <c r="G531" s="22"/>
      <c r="H531" s="23"/>
      <c r="I531" s="23"/>
      <c r="Q531" s="29"/>
      <c r="T531" s="26"/>
    </row>
    <row r="532" spans="2:20" x14ac:dyDescent="0.35">
      <c r="E532" s="27"/>
      <c r="G532" s="4" t="s">
        <v>462</v>
      </c>
      <c r="Q532" s="29"/>
      <c r="T532" s="26"/>
    </row>
    <row r="533" spans="2:20" ht="16" thickBot="1" x14ac:dyDescent="0.4">
      <c r="E533" s="27"/>
      <c r="F533" s="23"/>
      <c r="G533" s="22"/>
      <c r="H533" s="23"/>
      <c r="I533" s="23"/>
      <c r="Q533" s="29"/>
      <c r="T533" s="26"/>
    </row>
    <row r="534" spans="2:20" ht="18" thickBot="1" x14ac:dyDescent="0.4">
      <c r="C534" s="88"/>
      <c r="F534" s="188" t="s">
        <v>954</v>
      </c>
      <c r="G534" s="189"/>
      <c r="H534" s="189"/>
      <c r="I534" s="189"/>
      <c r="J534" s="191"/>
      <c r="K534" s="192"/>
      <c r="L534" s="187"/>
      <c r="M534" s="193"/>
    </row>
    <row r="535" spans="2:20" ht="16" thickBot="1" x14ac:dyDescent="0.4">
      <c r="B535" s="86" t="s">
        <v>479</v>
      </c>
      <c r="C535" s="88"/>
      <c r="E535" s="27"/>
      <c r="F535" s="23"/>
      <c r="G535" s="22"/>
      <c r="H535" s="23"/>
      <c r="I535" s="23"/>
      <c r="Q535" s="29"/>
      <c r="T535" s="26"/>
    </row>
    <row r="536" spans="2:20" ht="16" thickBot="1" x14ac:dyDescent="0.4">
      <c r="B536" s="29" t="s">
        <v>789</v>
      </c>
      <c r="C536" s="194">
        <v>8</v>
      </c>
      <c r="D536" s="27" t="s">
        <v>944</v>
      </c>
      <c r="E536" s="27"/>
      <c r="F536" s="21"/>
      <c r="G536" s="27"/>
      <c r="H536" s="21"/>
      <c r="I536" s="22"/>
      <c r="J536" s="23"/>
      <c r="Q536" s="29"/>
      <c r="T536" s="26"/>
    </row>
    <row r="537" spans="2:20" ht="16" thickBot="1" x14ac:dyDescent="0.4">
      <c r="B537" s="87"/>
      <c r="E537" s="27"/>
      <c r="F537" s="4"/>
      <c r="G537" s="27"/>
      <c r="H537" s="36"/>
      <c r="I537" s="4"/>
      <c r="Q537" s="29"/>
      <c r="T537" s="26"/>
    </row>
    <row r="538" spans="2:20" ht="18.5" thickBot="1" x14ac:dyDescent="0.45">
      <c r="B538" s="375" t="s">
        <v>1002</v>
      </c>
      <c r="F538" s="27"/>
      <c r="G538" s="182" t="s">
        <v>951</v>
      </c>
      <c r="H538" s="179"/>
      <c r="I538" s="180"/>
      <c r="J538" s="184"/>
      <c r="Q538" s="29"/>
      <c r="T538" s="26"/>
    </row>
    <row r="539" spans="2:20" ht="16" thickBot="1" x14ac:dyDescent="0.4">
      <c r="F539" s="27"/>
      <c r="G539" s="27"/>
      <c r="H539" s="36"/>
      <c r="I539" s="29"/>
      <c r="J539" s="21"/>
      <c r="Q539" s="29"/>
      <c r="T539" s="26"/>
    </row>
    <row r="540" spans="2:20" ht="16" thickBot="1" x14ac:dyDescent="0.4">
      <c r="F540" s="27"/>
      <c r="G540" s="182" t="s">
        <v>951</v>
      </c>
      <c r="H540" s="179"/>
      <c r="I540" s="180"/>
      <c r="J540" s="184"/>
      <c r="Q540" s="29"/>
      <c r="T540" s="26"/>
    </row>
    <row r="541" spans="2:20" x14ac:dyDescent="0.35">
      <c r="I541" s="23"/>
      <c r="Q541" s="29"/>
      <c r="T541" s="26"/>
    </row>
    <row r="542" spans="2:20" x14ac:dyDescent="0.35">
      <c r="I542" s="23"/>
      <c r="Q542" s="29"/>
      <c r="T542" s="26"/>
    </row>
    <row r="543" spans="2:20" x14ac:dyDescent="0.35">
      <c r="I543" s="23"/>
    </row>
    <row r="544" spans="2:20" x14ac:dyDescent="0.35">
      <c r="I544" s="23"/>
    </row>
    <row r="545" spans="2:14" x14ac:dyDescent="0.35">
      <c r="I545" s="23"/>
    </row>
    <row r="546" spans="2:14" x14ac:dyDescent="0.35">
      <c r="I546" s="23"/>
    </row>
    <row r="547" spans="2:14" x14ac:dyDescent="0.35">
      <c r="I547" s="23"/>
    </row>
    <row r="548" spans="2:14" x14ac:dyDescent="0.35">
      <c r="H548" s="20"/>
      <c r="N548" s="22"/>
    </row>
    <row r="549" spans="2:14" x14ac:dyDescent="0.35">
      <c r="H549" s="20"/>
      <c r="N549" s="22"/>
    </row>
    <row r="550" spans="2:14" x14ac:dyDescent="0.35">
      <c r="H550" s="20"/>
      <c r="N550" s="164"/>
    </row>
    <row r="551" spans="2:14" x14ac:dyDescent="0.35">
      <c r="H551" s="20"/>
      <c r="N551" s="22"/>
    </row>
    <row r="552" spans="2:14" x14ac:dyDescent="0.35">
      <c r="H552" s="20"/>
      <c r="N552" s="164"/>
    </row>
    <row r="553" spans="2:14" x14ac:dyDescent="0.35">
      <c r="H553" s="20"/>
      <c r="I553" s="29"/>
      <c r="K553" s="27"/>
      <c r="L553" s="27"/>
      <c r="M553" s="23"/>
      <c r="N553" s="22"/>
    </row>
    <row r="554" spans="2:14" x14ac:dyDescent="0.35">
      <c r="H554" s="20"/>
      <c r="I554" s="29"/>
      <c r="K554" s="27"/>
      <c r="L554" s="27"/>
      <c r="M554" s="23"/>
      <c r="N554" s="22"/>
    </row>
    <row r="555" spans="2:14" x14ac:dyDescent="0.35">
      <c r="H555" s="20"/>
      <c r="I555" s="29"/>
      <c r="K555" s="27"/>
      <c r="L555" s="27"/>
      <c r="M555" s="23"/>
      <c r="N555" s="22"/>
    </row>
    <row r="556" spans="2:14" x14ac:dyDescent="0.35">
      <c r="H556" s="20"/>
      <c r="I556" s="29"/>
      <c r="K556" s="27"/>
      <c r="L556" s="27"/>
      <c r="M556" s="23"/>
      <c r="N556" s="22"/>
    </row>
    <row r="557" spans="2:14" ht="18.5" thickBot="1" x14ac:dyDescent="0.45">
      <c r="B557" s="44" t="s">
        <v>953</v>
      </c>
      <c r="H557" s="20"/>
      <c r="I557" s="29"/>
      <c r="K557" s="27"/>
      <c r="L557" s="27"/>
      <c r="M557" s="23"/>
      <c r="N557" s="22"/>
    </row>
    <row r="558" spans="2:14" ht="16" thickBot="1" x14ac:dyDescent="0.4">
      <c r="B558" s="29" t="s">
        <v>952</v>
      </c>
      <c r="C558" s="163">
        <v>2757.1</v>
      </c>
      <c r="D558" s="27" t="s">
        <v>76</v>
      </c>
      <c r="H558" s="20"/>
      <c r="I558" s="29"/>
      <c r="K558" s="27"/>
      <c r="L558" s="27"/>
      <c r="M558" s="23"/>
      <c r="N558" s="22"/>
    </row>
    <row r="559" spans="2:14" x14ac:dyDescent="0.35">
      <c r="H559" s="20"/>
      <c r="I559" s="29"/>
      <c r="K559" s="27"/>
      <c r="L559" s="27"/>
      <c r="M559" s="23"/>
      <c r="N559" s="144"/>
    </row>
    <row r="560" spans="2:14" ht="18" x14ac:dyDescent="0.4">
      <c r="B560" s="44" t="s">
        <v>489</v>
      </c>
      <c r="E560" s="27"/>
      <c r="H560" s="20"/>
      <c r="I560" s="29"/>
      <c r="K560" s="27"/>
      <c r="L560" s="27"/>
      <c r="M560" s="23"/>
      <c r="N560" s="22"/>
    </row>
    <row r="561" spans="2:14" x14ac:dyDescent="0.35">
      <c r="C561" s="88" t="s">
        <v>2</v>
      </c>
      <c r="E561" s="27"/>
      <c r="F561" s="23"/>
      <c r="G561" s="22"/>
      <c r="H561" s="20"/>
      <c r="I561" s="29"/>
      <c r="K561" s="27"/>
      <c r="L561" s="27"/>
      <c r="M561" s="23"/>
      <c r="N561" s="22"/>
    </row>
    <row r="562" spans="2:14" ht="16" thickBot="1" x14ac:dyDescent="0.4">
      <c r="B562" s="4" t="s">
        <v>480</v>
      </c>
      <c r="E562" s="27"/>
      <c r="F562" s="23"/>
      <c r="G562" s="22"/>
      <c r="H562" s="20"/>
      <c r="I562" s="29"/>
      <c r="K562" s="27"/>
      <c r="L562" s="27"/>
      <c r="M562" s="23"/>
      <c r="N562" s="22"/>
    </row>
    <row r="563" spans="2:14" x14ac:dyDescent="0.35">
      <c r="B563" s="29" t="s">
        <v>790</v>
      </c>
      <c r="C563" s="162">
        <v>1.6</v>
      </c>
      <c r="D563" s="27" t="s">
        <v>415</v>
      </c>
      <c r="E563" s="151"/>
      <c r="F563" s="23"/>
      <c r="G563" s="22"/>
      <c r="H563" s="20"/>
      <c r="I563" s="29"/>
      <c r="K563" s="27"/>
      <c r="L563" s="27"/>
      <c r="M563" s="23"/>
      <c r="N563" s="22"/>
    </row>
    <row r="564" spans="2:14" x14ac:dyDescent="0.35">
      <c r="B564" s="29" t="s">
        <v>785</v>
      </c>
      <c r="C564" s="135">
        <v>296</v>
      </c>
      <c r="D564" s="27" t="s">
        <v>8</v>
      </c>
      <c r="E564" s="151"/>
      <c r="F564" s="23"/>
      <c r="G564" s="22"/>
      <c r="H564" s="20"/>
      <c r="I564" s="29"/>
      <c r="K564" s="27"/>
      <c r="L564" s="27"/>
      <c r="M564" s="23"/>
      <c r="N564" s="22"/>
    </row>
    <row r="565" spans="2:14" x14ac:dyDescent="0.35">
      <c r="B565" s="29" t="s">
        <v>482</v>
      </c>
      <c r="C565" s="135">
        <v>1322</v>
      </c>
      <c r="D565" s="27" t="s">
        <v>76</v>
      </c>
      <c r="E565" s="151"/>
      <c r="F565" s="23"/>
      <c r="G565" s="22"/>
      <c r="H565" s="20"/>
      <c r="I565" s="29"/>
      <c r="K565" s="27"/>
      <c r="L565" s="27"/>
      <c r="M565" s="23"/>
      <c r="N565" s="22"/>
    </row>
    <row r="566" spans="2:14" x14ac:dyDescent="0.35">
      <c r="B566" s="29" t="s">
        <v>481</v>
      </c>
      <c r="C566" s="135">
        <v>2757</v>
      </c>
      <c r="D566" s="27" t="s">
        <v>76</v>
      </c>
      <c r="E566" s="151"/>
      <c r="F566" s="23"/>
      <c r="G566" s="22"/>
      <c r="H566" s="23"/>
      <c r="I566" s="23"/>
    </row>
    <row r="567" spans="2:14" x14ac:dyDescent="0.35">
      <c r="B567" s="29" t="s">
        <v>487</v>
      </c>
      <c r="C567" s="135">
        <v>2.3189999999999999E-2</v>
      </c>
      <c r="D567" s="27" t="s">
        <v>75</v>
      </c>
      <c r="E567" s="151"/>
      <c r="F567" s="23"/>
      <c r="H567" s="135"/>
    </row>
    <row r="568" spans="2:14" ht="16" thickBot="1" x14ac:dyDescent="0.4">
      <c r="B568" s="29" t="s">
        <v>488</v>
      </c>
      <c r="C568" s="91">
        <v>1.3879999999999999E-3</v>
      </c>
      <c r="D568" s="27" t="s">
        <v>75</v>
      </c>
      <c r="E568" s="151"/>
      <c r="F568" s="23"/>
      <c r="G568" s="22"/>
      <c r="H568" s="23"/>
      <c r="I568" s="23"/>
    </row>
    <row r="569" spans="2:14" x14ac:dyDescent="0.35">
      <c r="C569" s="88" t="s">
        <v>3</v>
      </c>
      <c r="E569" s="27"/>
      <c r="F569" s="23"/>
      <c r="G569" s="22"/>
      <c r="H569" s="23"/>
      <c r="I569" s="23"/>
    </row>
    <row r="570" spans="2:14" x14ac:dyDescent="0.35">
      <c r="B570" s="86" t="s">
        <v>1001</v>
      </c>
      <c r="C570" s="4" t="s">
        <v>471</v>
      </c>
      <c r="D570" s="4"/>
      <c r="E570" s="376" t="s">
        <v>1003</v>
      </c>
      <c r="F570" s="23"/>
      <c r="G570" s="22"/>
      <c r="H570" s="23"/>
      <c r="I570" s="23"/>
    </row>
    <row r="571" spans="2:14" x14ac:dyDescent="0.35">
      <c r="B571" s="86" t="s">
        <v>4</v>
      </c>
      <c r="C571" s="4">
        <f>C566-C565</f>
        <v>1435</v>
      </c>
      <c r="D571" s="4" t="s">
        <v>76</v>
      </c>
      <c r="E571" s="27"/>
      <c r="F571" s="23"/>
      <c r="G571" s="22"/>
      <c r="H571" s="23"/>
      <c r="I571" s="144"/>
    </row>
    <row r="572" spans="2:14" x14ac:dyDescent="0.35">
      <c r="B572" s="86" t="s">
        <v>483</v>
      </c>
      <c r="C572" s="4" t="s">
        <v>484</v>
      </c>
      <c r="D572" s="4"/>
      <c r="E572" s="27"/>
      <c r="F572" s="23"/>
      <c r="G572" s="22"/>
      <c r="H572" s="23"/>
      <c r="I572" s="144"/>
    </row>
    <row r="573" spans="2:14" x14ac:dyDescent="0.35">
      <c r="B573" s="86" t="s">
        <v>4</v>
      </c>
      <c r="C573" s="166">
        <f>(C558 - C565) / C571</f>
        <v>1.0000696864111498</v>
      </c>
      <c r="D573" s="4"/>
      <c r="E573" s="27"/>
      <c r="F573" s="23"/>
      <c r="G573" s="22"/>
      <c r="H573" s="23"/>
      <c r="I573" s="144"/>
    </row>
    <row r="574" spans="2:14" x14ac:dyDescent="0.35">
      <c r="B574" s="86" t="s">
        <v>485</v>
      </c>
      <c r="C574" s="4" t="s">
        <v>486</v>
      </c>
      <c r="D574" s="4"/>
      <c r="E574" s="27"/>
      <c r="F574" s="23"/>
      <c r="G574" s="22"/>
      <c r="H574" s="144"/>
      <c r="I574" s="144"/>
    </row>
    <row r="575" spans="2:14" x14ac:dyDescent="0.35">
      <c r="B575" s="86" t="s">
        <v>4</v>
      </c>
      <c r="C575" s="137">
        <f>C568 + C573*(C567 -C568)</f>
        <v>2.3191519303135885E-2</v>
      </c>
      <c r="D575" s="4" t="s">
        <v>75</v>
      </c>
      <c r="E575" s="27"/>
      <c r="F575" s="23"/>
      <c r="G575" s="22"/>
      <c r="H575" s="144"/>
      <c r="I575" s="144"/>
    </row>
    <row r="576" spans="2:14" x14ac:dyDescent="0.35">
      <c r="E576" s="27"/>
      <c r="F576" s="23"/>
      <c r="G576" s="22"/>
      <c r="H576" s="144"/>
      <c r="I576" s="144"/>
    </row>
    <row r="577" spans="5:9" x14ac:dyDescent="0.35">
      <c r="E577" s="27"/>
      <c r="F577" s="23"/>
      <c r="G577" s="22"/>
      <c r="H577" s="144"/>
      <c r="I577" s="23"/>
    </row>
    <row r="578" spans="5:9" x14ac:dyDescent="0.35">
      <c r="E578" s="27"/>
      <c r="F578" s="23"/>
      <c r="G578" s="22"/>
      <c r="H578" s="144"/>
      <c r="I578" s="13"/>
    </row>
    <row r="579" spans="5:9" x14ac:dyDescent="0.35">
      <c r="E579" s="27"/>
      <c r="F579" s="23"/>
      <c r="G579" s="22"/>
      <c r="H579" s="144"/>
      <c r="I579" s="13"/>
    </row>
    <row r="580" spans="5:9" x14ac:dyDescent="0.35">
      <c r="E580" s="27"/>
      <c r="F580" s="23"/>
      <c r="G580" s="22"/>
      <c r="H580" s="99"/>
      <c r="I580" s="13"/>
    </row>
    <row r="581" spans="5:9" x14ac:dyDescent="0.35">
      <c r="E581" s="27"/>
      <c r="F581" s="23"/>
      <c r="G581" s="22"/>
      <c r="H581" s="13"/>
      <c r="I581" s="13"/>
    </row>
    <row r="582" spans="5:9" x14ac:dyDescent="0.35">
      <c r="E582" s="27"/>
      <c r="F582" s="23"/>
      <c r="G582" s="22"/>
      <c r="H582" s="13"/>
      <c r="I582" s="13"/>
    </row>
    <row r="583" spans="5:9" x14ac:dyDescent="0.35">
      <c r="E583" s="27"/>
      <c r="F583" s="23"/>
      <c r="G583" s="22"/>
      <c r="H583" s="13"/>
      <c r="I583" s="13"/>
    </row>
    <row r="584" spans="5:9" x14ac:dyDescent="0.35">
      <c r="E584" s="27"/>
      <c r="F584" s="23"/>
      <c r="G584" s="22"/>
      <c r="H584" s="165"/>
      <c r="I584" s="23"/>
    </row>
    <row r="585" spans="5:9" x14ac:dyDescent="0.35">
      <c r="E585" s="27"/>
      <c r="F585" s="23"/>
      <c r="G585" s="22"/>
      <c r="H585" s="13"/>
      <c r="I585" s="23"/>
    </row>
    <row r="586" spans="5:9" x14ac:dyDescent="0.35">
      <c r="E586" s="27"/>
      <c r="F586" s="23"/>
      <c r="G586" s="22"/>
      <c r="H586" s="140"/>
      <c r="I586" s="23"/>
    </row>
    <row r="587" spans="5:9" x14ac:dyDescent="0.35">
      <c r="E587" s="27"/>
      <c r="F587" s="23"/>
      <c r="G587" s="22"/>
      <c r="H587" s="23"/>
      <c r="I587" s="23"/>
    </row>
    <row r="588" spans="5:9" x14ac:dyDescent="0.35">
      <c r="E588" s="27"/>
      <c r="F588" s="23"/>
      <c r="G588" s="22"/>
      <c r="H588" s="23"/>
      <c r="I588" s="23"/>
    </row>
    <row r="589" spans="5:9" x14ac:dyDescent="0.35">
      <c r="E589" s="27"/>
      <c r="F589" s="23"/>
      <c r="G589" s="22"/>
      <c r="H589" s="23"/>
      <c r="I589" s="23"/>
    </row>
    <row r="590" spans="5:9" x14ac:dyDescent="0.35">
      <c r="E590" s="27"/>
      <c r="F590" s="23"/>
      <c r="G590" s="22"/>
      <c r="H590" s="23"/>
      <c r="I590" s="23"/>
    </row>
    <row r="591" spans="5:9" x14ac:dyDescent="0.35">
      <c r="E591" s="27"/>
      <c r="F591" s="23"/>
      <c r="G591" s="22"/>
      <c r="H591" s="23"/>
      <c r="I591" s="23"/>
    </row>
    <row r="592" spans="5:9" x14ac:dyDescent="0.35">
      <c r="E592" s="27"/>
      <c r="F592" s="23"/>
      <c r="G592" s="22"/>
      <c r="H592" s="23"/>
      <c r="I592" s="23"/>
    </row>
    <row r="593" spans="5:9" x14ac:dyDescent="0.35">
      <c r="E593" s="27"/>
      <c r="F593" s="23"/>
      <c r="G593" s="22"/>
      <c r="H593" s="23"/>
      <c r="I593" s="23"/>
    </row>
    <row r="594" spans="5:9" x14ac:dyDescent="0.35">
      <c r="E594" s="27"/>
      <c r="F594" s="23"/>
      <c r="G594" s="22"/>
      <c r="H594" s="23"/>
      <c r="I594" s="23"/>
    </row>
    <row r="595" spans="5:9" x14ac:dyDescent="0.35">
      <c r="E595" s="27"/>
      <c r="F595" s="23"/>
      <c r="G595" s="22"/>
      <c r="H595" s="23"/>
      <c r="I595" s="23"/>
    </row>
    <row r="596" spans="5:9" x14ac:dyDescent="0.35">
      <c r="E596" s="27"/>
      <c r="F596" s="23"/>
      <c r="G596" s="22"/>
      <c r="H596" s="23"/>
      <c r="I596" s="23"/>
    </row>
    <row r="597" spans="5:9" x14ac:dyDescent="0.35">
      <c r="E597" s="27"/>
      <c r="F597" s="23"/>
      <c r="G597" s="22"/>
      <c r="H597" s="23"/>
      <c r="I597" s="23"/>
    </row>
    <row r="598" spans="5:9" x14ac:dyDescent="0.35">
      <c r="E598" s="27"/>
      <c r="F598" s="23"/>
      <c r="G598" s="22"/>
      <c r="H598" s="23"/>
      <c r="I598" s="23"/>
    </row>
    <row r="599" spans="5:9" x14ac:dyDescent="0.35">
      <c r="E599" s="27"/>
      <c r="F599" s="23"/>
      <c r="G599" s="22"/>
      <c r="H599" s="23"/>
      <c r="I599" s="23"/>
    </row>
    <row r="600" spans="5:9" x14ac:dyDescent="0.35">
      <c r="E600" s="27"/>
      <c r="F600" s="23"/>
      <c r="G600" s="22"/>
      <c r="H600" s="23"/>
      <c r="I600" s="23"/>
    </row>
    <row r="601" spans="5:9" x14ac:dyDescent="0.35">
      <c r="E601" s="27"/>
      <c r="F601" s="23"/>
      <c r="G601" s="22"/>
      <c r="H601" s="23"/>
      <c r="I601" s="23"/>
    </row>
    <row r="602" spans="5:9" x14ac:dyDescent="0.35">
      <c r="E602" s="27"/>
      <c r="F602" s="23"/>
      <c r="G602" s="22"/>
      <c r="H602" s="23"/>
      <c r="I602" s="23"/>
    </row>
    <row r="603" spans="5:9" x14ac:dyDescent="0.35">
      <c r="E603" s="27"/>
      <c r="F603" s="23"/>
      <c r="G603" s="22"/>
      <c r="H603" s="23"/>
      <c r="I603" s="23"/>
    </row>
    <row r="604" spans="5:9" x14ac:dyDescent="0.35">
      <c r="E604" s="27"/>
      <c r="F604" s="23"/>
      <c r="G604" s="22"/>
      <c r="H604" s="23"/>
      <c r="I604" s="23"/>
    </row>
    <row r="605" spans="5:9" x14ac:dyDescent="0.35">
      <c r="E605" s="27"/>
      <c r="F605" s="23"/>
      <c r="G605" s="22"/>
      <c r="H605" s="23"/>
      <c r="I605" s="23"/>
    </row>
    <row r="606" spans="5:9" x14ac:dyDescent="0.35">
      <c r="E606" s="27"/>
      <c r="F606" s="23"/>
      <c r="G606" s="22"/>
      <c r="H606" s="23"/>
      <c r="I606" s="23"/>
    </row>
    <row r="607" spans="5:9" x14ac:dyDescent="0.35">
      <c r="E607" s="27"/>
      <c r="F607" s="23"/>
      <c r="G607" s="22"/>
      <c r="H607" s="23"/>
      <c r="I607" s="23"/>
    </row>
    <row r="608" spans="5:9" x14ac:dyDescent="0.35">
      <c r="E608" s="27"/>
      <c r="F608" s="23"/>
      <c r="G608" s="22"/>
      <c r="H608" s="23"/>
      <c r="I608" s="23"/>
    </row>
    <row r="609" spans="2:9" x14ac:dyDescent="0.35">
      <c r="E609" s="27"/>
      <c r="F609" s="23"/>
      <c r="G609" s="22"/>
      <c r="H609" s="23"/>
      <c r="I609" s="23"/>
    </row>
    <row r="610" spans="2:9" x14ac:dyDescent="0.35">
      <c r="E610" s="27"/>
      <c r="F610" s="23"/>
      <c r="G610" s="22"/>
      <c r="H610" s="23"/>
      <c r="I610" s="23"/>
    </row>
    <row r="611" spans="2:9" x14ac:dyDescent="0.35">
      <c r="E611" s="27"/>
      <c r="F611" s="23"/>
      <c r="G611" s="22"/>
      <c r="H611" s="23"/>
      <c r="I611" s="23"/>
    </row>
    <row r="612" spans="2:9" ht="16" thickBot="1" x14ac:dyDescent="0.4">
      <c r="C612" s="88" t="s">
        <v>2</v>
      </c>
      <c r="E612" s="27"/>
      <c r="F612" s="23"/>
      <c r="G612" s="22"/>
      <c r="H612" s="23"/>
      <c r="I612" s="23"/>
    </row>
    <row r="613" spans="2:9" x14ac:dyDescent="0.35">
      <c r="B613" s="29" t="s">
        <v>839</v>
      </c>
      <c r="C613" s="167">
        <v>10</v>
      </c>
      <c r="D613" s="27" t="s">
        <v>19</v>
      </c>
      <c r="E613" s="27"/>
      <c r="F613" s="23"/>
      <c r="G613" s="22"/>
      <c r="H613" s="23"/>
      <c r="I613" s="23"/>
    </row>
    <row r="614" spans="2:9" x14ac:dyDescent="0.35">
      <c r="B614" s="29" t="s">
        <v>490</v>
      </c>
      <c r="C614" s="168">
        <v>30</v>
      </c>
      <c r="D614" s="27" t="s">
        <v>491</v>
      </c>
      <c r="E614" s="27"/>
      <c r="F614" s="23"/>
      <c r="G614" s="22"/>
      <c r="H614" s="23"/>
      <c r="I614" s="23"/>
    </row>
    <row r="615" spans="2:9" x14ac:dyDescent="0.35">
      <c r="B615" s="29" t="s">
        <v>494</v>
      </c>
      <c r="C615" s="169">
        <v>2</v>
      </c>
      <c r="D615" s="27" t="s">
        <v>25</v>
      </c>
      <c r="E615" s="27"/>
      <c r="F615" s="23"/>
      <c r="G615" s="22"/>
      <c r="H615" s="23"/>
      <c r="I615" s="23"/>
    </row>
    <row r="616" spans="2:9" x14ac:dyDescent="0.35">
      <c r="B616" s="29" t="s">
        <v>495</v>
      </c>
      <c r="C616" s="169">
        <v>2</v>
      </c>
      <c r="D616" s="27" t="s">
        <v>25</v>
      </c>
      <c r="E616" s="27"/>
      <c r="F616" s="23"/>
      <c r="G616" s="22"/>
      <c r="H616" s="23"/>
      <c r="I616" s="23"/>
    </row>
    <row r="617" spans="2:9" ht="16" thickBot="1" x14ac:dyDescent="0.4">
      <c r="B617" s="29" t="s">
        <v>936</v>
      </c>
      <c r="C617" s="170">
        <v>62.4</v>
      </c>
      <c r="D617" s="27" t="s">
        <v>503</v>
      </c>
      <c r="E617" s="27"/>
      <c r="F617" s="23"/>
      <c r="G617" s="22"/>
      <c r="H617" s="23"/>
      <c r="I617" s="23"/>
    </row>
    <row r="618" spans="2:9" x14ac:dyDescent="0.35">
      <c r="C618" s="171" t="s">
        <v>3</v>
      </c>
      <c r="E618" s="27"/>
      <c r="F618" s="23"/>
      <c r="G618" s="22"/>
      <c r="H618" s="23"/>
      <c r="I618" s="23"/>
    </row>
    <row r="619" spans="2:9" x14ac:dyDescent="0.35">
      <c r="B619" s="86" t="s">
        <v>508</v>
      </c>
      <c r="C619" s="153" t="s">
        <v>505</v>
      </c>
      <c r="D619" s="4"/>
      <c r="E619" s="27"/>
      <c r="F619" s="23"/>
      <c r="G619" s="22"/>
      <c r="H619" s="23"/>
      <c r="I619" s="23"/>
    </row>
    <row r="620" spans="2:9" x14ac:dyDescent="0.35">
      <c r="B620" s="86" t="s">
        <v>507</v>
      </c>
      <c r="C620" s="153">
        <f>C613*550</f>
        <v>5500</v>
      </c>
      <c r="D620" s="4" t="s">
        <v>506</v>
      </c>
      <c r="E620" s="27"/>
      <c r="F620" s="23"/>
      <c r="G620" s="22"/>
      <c r="H620" s="23"/>
      <c r="I620" s="23"/>
    </row>
    <row r="621" spans="2:9" x14ac:dyDescent="0.35">
      <c r="B621" s="86" t="s">
        <v>499</v>
      </c>
      <c r="C621" s="153" t="s">
        <v>500</v>
      </c>
      <c r="D621" s="4"/>
      <c r="E621" s="27"/>
      <c r="F621" s="23"/>
      <c r="G621" s="22"/>
      <c r="H621" s="23"/>
      <c r="I621" s="23"/>
    </row>
    <row r="622" spans="2:9" x14ac:dyDescent="0.35">
      <c r="B622" s="86" t="s">
        <v>511</v>
      </c>
      <c r="C622" s="153" t="s">
        <v>512</v>
      </c>
      <c r="D622" s="4"/>
      <c r="E622" s="27"/>
      <c r="F622" s="23"/>
      <c r="G622" s="22"/>
      <c r="H622" s="23"/>
      <c r="I622" s="23"/>
    </row>
    <row r="623" spans="2:9" x14ac:dyDescent="0.35">
      <c r="B623" s="86" t="s">
        <v>496</v>
      </c>
      <c r="C623" s="153" t="s">
        <v>513</v>
      </c>
      <c r="D623" s="4"/>
      <c r="E623" s="27"/>
      <c r="F623" s="23"/>
      <c r="G623" s="22"/>
      <c r="H623" s="23"/>
      <c r="I623" s="23"/>
    </row>
    <row r="624" spans="2:9" x14ac:dyDescent="0.35">
      <c r="B624" s="86" t="s">
        <v>4</v>
      </c>
      <c r="C624" s="172">
        <f>3.1416*C615^2/4</f>
        <v>3.1415999999999999</v>
      </c>
      <c r="D624" s="4" t="s">
        <v>498</v>
      </c>
      <c r="E624" s="27"/>
      <c r="F624" s="23"/>
      <c r="G624" s="22"/>
      <c r="H624" s="23"/>
      <c r="I624" s="23"/>
    </row>
    <row r="625" spans="2:9" x14ac:dyDescent="0.35">
      <c r="B625" s="86" t="s">
        <v>497</v>
      </c>
      <c r="C625" s="153" t="s">
        <v>514</v>
      </c>
      <c r="D625" s="4"/>
      <c r="E625" s="27"/>
      <c r="F625" s="23"/>
      <c r="G625" s="22"/>
      <c r="H625" s="23"/>
      <c r="I625" s="23"/>
    </row>
    <row r="626" spans="2:9" x14ac:dyDescent="0.35">
      <c r="B626" s="86" t="s">
        <v>4</v>
      </c>
      <c r="C626" s="172">
        <f>3.1416*C616^2/4</f>
        <v>3.1415999999999999</v>
      </c>
      <c r="D626" s="4" t="s">
        <v>498</v>
      </c>
      <c r="E626" s="27"/>
      <c r="F626" s="23"/>
      <c r="G626" s="22"/>
      <c r="H626" s="23"/>
      <c r="I626" s="23"/>
    </row>
    <row r="627" spans="2:9" x14ac:dyDescent="0.35">
      <c r="B627" s="86" t="s">
        <v>492</v>
      </c>
      <c r="C627" s="153" t="s">
        <v>493</v>
      </c>
      <c r="D627" s="4"/>
      <c r="E627" s="27"/>
      <c r="F627" s="23"/>
      <c r="G627" s="22"/>
      <c r="H627" s="23"/>
      <c r="I627" s="23"/>
    </row>
    <row r="628" spans="2:9" x14ac:dyDescent="0.35">
      <c r="B628" s="86" t="s">
        <v>4</v>
      </c>
      <c r="C628" s="153" t="s">
        <v>501</v>
      </c>
      <c r="D628" s="4"/>
      <c r="E628" s="27"/>
      <c r="F628" s="23"/>
      <c r="G628" s="22"/>
      <c r="H628" s="23"/>
      <c r="I628" s="23"/>
    </row>
    <row r="629" spans="2:9" x14ac:dyDescent="0.35">
      <c r="B629" s="86" t="s">
        <v>4</v>
      </c>
      <c r="C629" s="173">
        <f>C614*C624/C626</f>
        <v>30.000000000000004</v>
      </c>
      <c r="D629" s="4" t="s">
        <v>491</v>
      </c>
      <c r="E629" s="27"/>
      <c r="F629" s="23"/>
      <c r="G629" s="22"/>
      <c r="H629" s="23"/>
      <c r="I629" s="23"/>
    </row>
    <row r="630" spans="2:9" x14ac:dyDescent="0.35">
      <c r="B630" s="86" t="s">
        <v>502</v>
      </c>
      <c r="C630" s="153" t="s">
        <v>504</v>
      </c>
      <c r="D630" s="4"/>
      <c r="E630" s="27"/>
      <c r="F630" s="23"/>
      <c r="G630" s="22"/>
      <c r="H630" s="23"/>
      <c r="I630" s="23"/>
    </row>
    <row r="631" spans="2:9" x14ac:dyDescent="0.35">
      <c r="B631" s="86" t="s">
        <v>4</v>
      </c>
      <c r="C631" s="173">
        <f>C617*(C624/144)*C614</f>
        <v>40.840799999999994</v>
      </c>
      <c r="D631" s="4" t="s">
        <v>461</v>
      </c>
      <c r="E631" s="27"/>
      <c r="F631" s="23"/>
      <c r="G631" s="22"/>
      <c r="H631" s="23"/>
      <c r="I631" s="23"/>
    </row>
    <row r="632" spans="2:9" x14ac:dyDescent="0.35">
      <c r="B632" s="86" t="s">
        <v>998</v>
      </c>
      <c r="C632" s="4" t="s">
        <v>510</v>
      </c>
      <c r="D632" s="4"/>
      <c r="E632" s="27"/>
      <c r="F632" s="23"/>
      <c r="G632" s="22"/>
      <c r="H632" s="23"/>
      <c r="I632" s="23"/>
    </row>
    <row r="633" spans="2:9" x14ac:dyDescent="0.35">
      <c r="B633" s="86" t="s">
        <v>515</v>
      </c>
      <c r="C633" s="4" t="s">
        <v>516</v>
      </c>
      <c r="D633" s="4"/>
      <c r="E633" s="27"/>
      <c r="F633" s="23"/>
      <c r="G633" s="22"/>
      <c r="H633" s="23"/>
      <c r="I633" s="23"/>
    </row>
    <row r="634" spans="2:9" x14ac:dyDescent="0.35">
      <c r="B634" s="86" t="s">
        <v>4</v>
      </c>
      <c r="C634" s="93">
        <f>C617*((C620 / C631) - ((C629^2 - C614^2) /(2*32.2)))</f>
        <v>8403.361344537816</v>
      </c>
      <c r="D634" s="4" t="s">
        <v>509</v>
      </c>
      <c r="E634" s="27"/>
      <c r="F634" s="23"/>
      <c r="G634" s="22"/>
      <c r="H634" s="23"/>
      <c r="I634" s="23"/>
    </row>
    <row r="635" spans="2:9" x14ac:dyDescent="0.35">
      <c r="B635" s="86" t="s">
        <v>4</v>
      </c>
      <c r="C635" s="138">
        <f>(C634*238.3/34310)</f>
        <v>58.365520501409549</v>
      </c>
      <c r="D635" s="4" t="s">
        <v>414</v>
      </c>
      <c r="E635" s="27"/>
      <c r="F635" s="23"/>
      <c r="G635" s="22"/>
      <c r="H635" s="23"/>
      <c r="I635" s="23"/>
    </row>
    <row r="636" spans="2:9" x14ac:dyDescent="0.35">
      <c r="E636" s="27"/>
      <c r="F636" s="23"/>
      <c r="G636" s="22"/>
      <c r="H636" s="23"/>
      <c r="I636" s="23"/>
    </row>
    <row r="637" spans="2:9" x14ac:dyDescent="0.35">
      <c r="B637" s="4"/>
      <c r="E637" s="27"/>
      <c r="F637" s="23"/>
      <c r="G637" s="22"/>
      <c r="H637" s="23"/>
      <c r="I637" s="23"/>
    </row>
    <row r="638" spans="2:9" x14ac:dyDescent="0.35">
      <c r="E638" s="27"/>
      <c r="F638" s="23"/>
      <c r="G638" s="22"/>
      <c r="H638" s="23"/>
      <c r="I638" s="23"/>
    </row>
    <row r="639" spans="2:9" x14ac:dyDescent="0.35">
      <c r="C639" s="27" t="s">
        <v>849</v>
      </c>
      <c r="H639" s="23"/>
      <c r="I639" s="23"/>
    </row>
    <row r="640" spans="2:9" x14ac:dyDescent="0.35">
      <c r="H640" s="23"/>
      <c r="I640" s="23"/>
    </row>
    <row r="641" spans="8:9" x14ac:dyDescent="0.35">
      <c r="H641" s="23"/>
      <c r="I641" s="23"/>
    </row>
    <row r="642" spans="8:9" x14ac:dyDescent="0.35">
      <c r="H642" s="23"/>
      <c r="I642" s="23"/>
    </row>
    <row r="643" spans="8:9" x14ac:dyDescent="0.35">
      <c r="H643" s="23"/>
      <c r="I643" s="23"/>
    </row>
    <row r="644" spans="8:9" x14ac:dyDescent="0.35">
      <c r="H644" s="23"/>
      <c r="I644" s="23"/>
    </row>
    <row r="645" spans="8:9" x14ac:dyDescent="0.35">
      <c r="H645" s="23"/>
      <c r="I645" s="23"/>
    </row>
    <row r="646" spans="8:9" x14ac:dyDescent="0.35">
      <c r="H646" s="23"/>
      <c r="I646" s="23"/>
    </row>
    <row r="647" spans="8:9" x14ac:dyDescent="0.35">
      <c r="H647" s="23"/>
      <c r="I647" s="23"/>
    </row>
    <row r="648" spans="8:9" x14ac:dyDescent="0.35">
      <c r="H648" s="23"/>
      <c r="I648" s="23"/>
    </row>
    <row r="649" spans="8:9" x14ac:dyDescent="0.35">
      <c r="H649" s="23"/>
      <c r="I649" s="23"/>
    </row>
    <row r="650" spans="8:9" x14ac:dyDescent="0.35">
      <c r="H650" s="23"/>
      <c r="I650" s="23"/>
    </row>
    <row r="651" spans="8:9" x14ac:dyDescent="0.35">
      <c r="H651" s="23"/>
      <c r="I651" s="23"/>
    </row>
    <row r="652" spans="8:9" x14ac:dyDescent="0.35">
      <c r="H652" s="23"/>
      <c r="I652" s="23"/>
    </row>
    <row r="653" spans="8:9" x14ac:dyDescent="0.35">
      <c r="H653" s="23"/>
      <c r="I653" s="23"/>
    </row>
    <row r="654" spans="8:9" x14ac:dyDescent="0.35">
      <c r="H654" s="23"/>
      <c r="I654" s="23"/>
    </row>
    <row r="655" spans="8:9" x14ac:dyDescent="0.35">
      <c r="H655" s="23"/>
      <c r="I655" s="23"/>
    </row>
    <row r="656" spans="8:9" x14ac:dyDescent="0.35">
      <c r="H656" s="23"/>
      <c r="I656" s="23"/>
    </row>
    <row r="657" spans="8:9" x14ac:dyDescent="0.35">
      <c r="H657" s="23"/>
      <c r="I657" s="23"/>
    </row>
    <row r="658" spans="8:9" x14ac:dyDescent="0.35">
      <c r="H658" s="23"/>
      <c r="I658" s="23"/>
    </row>
    <row r="659" spans="8:9" x14ac:dyDescent="0.35">
      <c r="H659" s="23"/>
      <c r="I659" s="23"/>
    </row>
    <row r="660" spans="8:9" x14ac:dyDescent="0.35">
      <c r="H660" s="23"/>
      <c r="I660" s="23"/>
    </row>
    <row r="661" spans="8:9" x14ac:dyDescent="0.35">
      <c r="H661" s="23"/>
      <c r="I661" s="23"/>
    </row>
    <row r="662" spans="8:9" x14ac:dyDescent="0.35">
      <c r="H662" s="23"/>
      <c r="I662" s="23"/>
    </row>
    <row r="663" spans="8:9" x14ac:dyDescent="0.35">
      <c r="H663" s="23"/>
      <c r="I663" s="23"/>
    </row>
    <row r="664" spans="8:9" x14ac:dyDescent="0.35">
      <c r="H664" s="23"/>
      <c r="I664" s="23"/>
    </row>
    <row r="665" spans="8:9" x14ac:dyDescent="0.35">
      <c r="H665" s="23"/>
      <c r="I665" s="23"/>
    </row>
    <row r="666" spans="8:9" x14ac:dyDescent="0.35">
      <c r="H666" s="23"/>
      <c r="I666" s="23"/>
    </row>
    <row r="667" spans="8:9" x14ac:dyDescent="0.35">
      <c r="H667" s="23"/>
      <c r="I667" s="23"/>
    </row>
    <row r="668" spans="8:9" x14ac:dyDescent="0.35">
      <c r="H668" s="23"/>
    </row>
    <row r="669" spans="8:9" x14ac:dyDescent="0.35">
      <c r="H669" s="20"/>
      <c r="I669" s="20"/>
    </row>
    <row r="670" spans="8:9" x14ac:dyDescent="0.35">
      <c r="H670" s="20"/>
      <c r="I670" s="20"/>
    </row>
    <row r="674" spans="2:7" x14ac:dyDescent="0.35">
      <c r="E674" s="27"/>
      <c r="F674" s="23"/>
      <c r="G674" s="22"/>
    </row>
    <row r="675" spans="2:7" x14ac:dyDescent="0.35">
      <c r="E675" s="27"/>
      <c r="F675" s="23"/>
      <c r="G675" s="22"/>
    </row>
    <row r="676" spans="2:7" x14ac:dyDescent="0.35">
      <c r="B676" s="20"/>
      <c r="C676" s="20"/>
      <c r="D676" s="20"/>
      <c r="G676" s="20"/>
    </row>
    <row r="677" spans="2:7" x14ac:dyDescent="0.35">
      <c r="B677" s="20"/>
      <c r="C677" s="20"/>
      <c r="D677" s="20"/>
      <c r="G677" s="20"/>
    </row>
    <row r="751" spans="10:12" x14ac:dyDescent="0.35">
      <c r="J751" s="20"/>
      <c r="L751" s="20"/>
    </row>
    <row r="752" spans="10:12" x14ac:dyDescent="0.35">
      <c r="J752" s="20"/>
      <c r="L752" s="20"/>
    </row>
    <row r="753" spans="2:12" x14ac:dyDescent="0.35">
      <c r="B753" s="20"/>
      <c r="C753" s="20"/>
      <c r="D753" s="20"/>
      <c r="G753" s="20"/>
      <c r="H753" s="20"/>
      <c r="I753" s="20"/>
      <c r="J753" s="20"/>
      <c r="L753" s="20"/>
    </row>
    <row r="754" spans="2:12" x14ac:dyDescent="0.35">
      <c r="B754" s="20"/>
      <c r="C754" s="20"/>
      <c r="D754" s="20"/>
      <c r="G754" s="20"/>
      <c r="H754" s="20"/>
      <c r="I754" s="20"/>
      <c r="J754" s="20"/>
      <c r="L754" s="20"/>
    </row>
    <row r="755" spans="2:12" x14ac:dyDescent="0.35">
      <c r="B755" s="20"/>
      <c r="C755" s="20"/>
      <c r="D755" s="20"/>
      <c r="G755" s="20"/>
      <c r="H755" s="20"/>
      <c r="I755" s="20"/>
      <c r="J755" s="20"/>
      <c r="L755" s="20"/>
    </row>
    <row r="756" spans="2:12" x14ac:dyDescent="0.35">
      <c r="B756" s="20"/>
      <c r="C756" s="20"/>
      <c r="D756" s="20"/>
      <c r="G756" s="20"/>
      <c r="H756" s="20"/>
      <c r="I756" s="20"/>
      <c r="J756" s="20"/>
      <c r="L756" s="20"/>
    </row>
    <row r="757" spans="2:12" x14ac:dyDescent="0.35">
      <c r="B757" s="20"/>
      <c r="C757" s="20"/>
      <c r="D757" s="20"/>
      <c r="G757" s="20"/>
      <c r="H757" s="20"/>
      <c r="I757" s="20"/>
      <c r="J757" s="20"/>
      <c r="L757" s="20"/>
    </row>
    <row r="758" spans="2:12" x14ac:dyDescent="0.35">
      <c r="B758" s="20"/>
      <c r="C758" s="20"/>
      <c r="D758" s="20"/>
      <c r="G758" s="20"/>
      <c r="H758" s="20"/>
      <c r="I758" s="20"/>
      <c r="J758" s="20"/>
      <c r="L758" s="20"/>
    </row>
    <row r="759" spans="2:12" x14ac:dyDescent="0.35">
      <c r="B759" s="20"/>
      <c r="C759" s="20"/>
      <c r="D759" s="20"/>
      <c r="G759" s="20"/>
      <c r="H759" s="20"/>
      <c r="I759" s="20"/>
      <c r="J759" s="20"/>
      <c r="L759" s="20"/>
    </row>
    <row r="760" spans="2:12" x14ac:dyDescent="0.35">
      <c r="B760" s="20"/>
      <c r="C760" s="20"/>
      <c r="D760" s="20"/>
      <c r="G760" s="20"/>
      <c r="H760" s="20"/>
      <c r="I760" s="20"/>
      <c r="J760" s="20"/>
      <c r="L760" s="20"/>
    </row>
    <row r="761" spans="2:12" x14ac:dyDescent="0.35">
      <c r="B761" s="20"/>
      <c r="C761" s="20"/>
      <c r="D761" s="20"/>
      <c r="G761" s="20"/>
      <c r="H761" s="20"/>
      <c r="I761" s="20"/>
      <c r="J761" s="20"/>
      <c r="L761" s="20"/>
    </row>
    <row r="762" spans="2:12" x14ac:dyDescent="0.35">
      <c r="B762" s="20"/>
      <c r="C762" s="20"/>
      <c r="D762" s="20"/>
      <c r="G762" s="20"/>
      <c r="H762" s="20"/>
      <c r="I762" s="20"/>
      <c r="J762" s="20"/>
      <c r="L762" s="20"/>
    </row>
    <row r="763" spans="2:12" x14ac:dyDescent="0.35">
      <c r="B763" s="20"/>
      <c r="C763" s="20"/>
      <c r="D763" s="20"/>
      <c r="G763" s="20"/>
      <c r="H763" s="20"/>
      <c r="I763" s="20"/>
      <c r="J763" s="20"/>
      <c r="L763" s="20"/>
    </row>
    <row r="764" spans="2:12" x14ac:dyDescent="0.35">
      <c r="B764" s="20"/>
      <c r="C764" s="20"/>
      <c r="D764" s="20"/>
      <c r="G764" s="20"/>
      <c r="H764" s="20"/>
      <c r="I764" s="20"/>
      <c r="J764" s="20"/>
      <c r="L764" s="20"/>
    </row>
    <row r="765" spans="2:12" x14ac:dyDescent="0.35">
      <c r="B765" s="20"/>
      <c r="C765" s="20"/>
      <c r="D765" s="20"/>
      <c r="G765" s="20"/>
      <c r="H765" s="20"/>
      <c r="I765" s="20"/>
      <c r="J765" s="20"/>
      <c r="L765" s="20"/>
    </row>
    <row r="766" spans="2:12" x14ac:dyDescent="0.35">
      <c r="B766" s="20"/>
      <c r="C766" s="20"/>
      <c r="D766" s="20"/>
      <c r="G766" s="20"/>
      <c r="H766" s="20"/>
      <c r="I766" s="20"/>
      <c r="J766" s="20"/>
      <c r="L766" s="20"/>
    </row>
    <row r="767" spans="2:12" x14ac:dyDescent="0.35">
      <c r="B767" s="20"/>
      <c r="C767" s="20"/>
      <c r="D767" s="20"/>
      <c r="G767" s="20"/>
      <c r="H767" s="20"/>
      <c r="I767" s="20"/>
      <c r="J767" s="20"/>
      <c r="L767" s="20"/>
    </row>
    <row r="768" spans="2:12" x14ac:dyDescent="0.35">
      <c r="B768" s="20"/>
      <c r="C768" s="20"/>
      <c r="D768" s="20"/>
      <c r="G768" s="20"/>
      <c r="H768" s="20"/>
      <c r="I768" s="20"/>
      <c r="J768" s="20"/>
      <c r="L768" s="20"/>
    </row>
    <row r="769" spans="2:12" x14ac:dyDescent="0.35">
      <c r="B769" s="20"/>
      <c r="C769" s="20"/>
      <c r="D769" s="20"/>
      <c r="G769" s="20"/>
      <c r="H769" s="20"/>
      <c r="I769" s="20"/>
      <c r="J769" s="20"/>
      <c r="L769" s="20"/>
    </row>
    <row r="809" spans="13:13" x14ac:dyDescent="0.35">
      <c r="M809" s="20"/>
    </row>
    <row r="810" spans="13:13" x14ac:dyDescent="0.35">
      <c r="M810" s="20"/>
    </row>
    <row r="811" spans="13:13" x14ac:dyDescent="0.35">
      <c r="M811" s="20"/>
    </row>
    <row r="812" spans="13:13" x14ac:dyDescent="0.35">
      <c r="M812" s="20"/>
    </row>
    <row r="813" spans="13:13" x14ac:dyDescent="0.35">
      <c r="M813" s="20"/>
    </row>
    <row r="814" spans="13:13" x14ac:dyDescent="0.35">
      <c r="M814" s="20"/>
    </row>
    <row r="815" spans="13:13" x14ac:dyDescent="0.35">
      <c r="M815" s="20"/>
    </row>
    <row r="816" spans="13:13" x14ac:dyDescent="0.35">
      <c r="M816" s="20"/>
    </row>
    <row r="817" spans="2:13" x14ac:dyDescent="0.35">
      <c r="M817" s="20"/>
    </row>
    <row r="818" spans="2:13" x14ac:dyDescent="0.35">
      <c r="M818" s="20"/>
    </row>
    <row r="819" spans="2:13" x14ac:dyDescent="0.35">
      <c r="M819" s="20"/>
    </row>
    <row r="820" spans="2:13" x14ac:dyDescent="0.35">
      <c r="M820" s="20"/>
    </row>
    <row r="821" spans="2:13" x14ac:dyDescent="0.35">
      <c r="M821" s="20"/>
    </row>
    <row r="822" spans="2:13" x14ac:dyDescent="0.35">
      <c r="M822" s="20"/>
    </row>
    <row r="823" spans="2:13" x14ac:dyDescent="0.35">
      <c r="M823" s="20"/>
    </row>
    <row r="824" spans="2:13" x14ac:dyDescent="0.35">
      <c r="M824" s="20"/>
    </row>
    <row r="825" spans="2:13" x14ac:dyDescent="0.35">
      <c r="M825" s="20"/>
    </row>
    <row r="826" spans="2:13" x14ac:dyDescent="0.35">
      <c r="M826" s="20"/>
    </row>
    <row r="827" spans="2:13" x14ac:dyDescent="0.35">
      <c r="M827" s="20"/>
    </row>
    <row r="828" spans="2:13" x14ac:dyDescent="0.35">
      <c r="B828" s="20"/>
      <c r="C828" s="20"/>
      <c r="D828" s="20"/>
      <c r="G828" s="20"/>
      <c r="H828" s="20"/>
      <c r="I828" s="20"/>
      <c r="J828" s="20"/>
      <c r="L828" s="20"/>
      <c r="M828" s="20"/>
    </row>
    <row r="829" spans="2:13" x14ac:dyDescent="0.35">
      <c r="B829" s="20"/>
      <c r="C829" s="20"/>
      <c r="D829" s="20"/>
      <c r="G829" s="20"/>
      <c r="H829" s="20"/>
      <c r="I829" s="20"/>
      <c r="J829" s="20"/>
      <c r="L829" s="20"/>
      <c r="M829" s="20"/>
    </row>
    <row r="830" spans="2:13" x14ac:dyDescent="0.35">
      <c r="B830" s="20"/>
      <c r="C830" s="20"/>
      <c r="D830" s="20"/>
      <c r="G830" s="20"/>
      <c r="H830" s="20"/>
      <c r="I830" s="20"/>
      <c r="J830" s="20"/>
      <c r="L830" s="20"/>
      <c r="M830" s="20"/>
    </row>
    <row r="831" spans="2:13" x14ac:dyDescent="0.35">
      <c r="F831" s="21"/>
      <c r="G831" s="22"/>
      <c r="H831" s="23"/>
    </row>
  </sheetData>
  <sheetProtection sheet="1" objects="1" scenarios="1" selectLockedCells="1"/>
  <phoneticPr fontId="4" type="noConversion"/>
  <hyperlinks>
    <hyperlink ref="G540" r:id="rId1" xr:uid="{00000000-0004-0000-0200-000000000000}"/>
    <hyperlink ref="G538" r:id="rId2" xr:uid="{00000000-0004-0000-0200-000001000000}"/>
    <hyperlink ref="F534" r:id="rId3" display="https://www.tlv.com/global/TI/calculator/steam-table-pressure.html" xr:uid="{00000000-0004-0000-0200-000002000000}"/>
    <hyperlink ref="F62" r:id="rId4" xr:uid="{00000000-0004-0000-0200-000003000000}"/>
    <hyperlink ref="F60" r:id="rId5" xr:uid="{00000000-0004-0000-0200-000004000000}"/>
  </hyperlinks>
  <pageMargins left="0.78749999999999998" right="0.78749999999999998" top="1.0527777777777778" bottom="1.0527777777777778" header="0.78749999999999998" footer="0.78749999999999998"/>
  <pageSetup orientation="portrait" useFirstPageNumber="1" horizontalDpi="300" verticalDpi="300" r:id="rId6"/>
  <headerFooter alignWithMargins="0">
    <oddHeader>&amp;C&amp;"Times New Roman,Regular"&amp;12&amp;A</oddHeader>
    <oddFooter>&amp;C&amp;"Times New Roman,Regular"&amp;12Page &amp;P</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743"/>
  <sheetViews>
    <sheetView topLeftCell="A12" zoomScaleNormal="100" workbookViewId="0">
      <selection activeCell="H30" sqref="H30"/>
    </sheetView>
  </sheetViews>
  <sheetFormatPr defaultColWidth="9.1796875" defaultRowHeight="15.5" x14ac:dyDescent="0.35"/>
  <cols>
    <col min="1" max="1" width="7.453125" style="20" customWidth="1"/>
    <col min="2" max="2" width="50.1796875" style="20" customWidth="1"/>
    <col min="3" max="3" width="18.1796875" style="20" customWidth="1"/>
    <col min="4" max="4" width="10.1796875" style="20" customWidth="1"/>
    <col min="5" max="5" width="9.1796875" style="20"/>
    <col min="6" max="6" width="16.453125" style="20" customWidth="1"/>
    <col min="7" max="7" width="11.1796875" style="20" customWidth="1"/>
    <col min="8" max="8" width="12.1796875" style="29" customWidth="1"/>
    <col min="9" max="9" width="14.54296875" style="27" customWidth="1"/>
    <col min="10" max="10" width="13.54296875" style="20" customWidth="1"/>
    <col min="11" max="16384" width="9.1796875" style="20"/>
  </cols>
  <sheetData>
    <row r="1" spans="2:26" ht="20" x14ac:dyDescent="0.4">
      <c r="B1" s="46" t="s">
        <v>955</v>
      </c>
      <c r="E1" s="21"/>
      <c r="F1" s="21"/>
      <c r="G1" s="21"/>
      <c r="H1" s="22"/>
      <c r="I1" s="23"/>
      <c r="J1" s="21"/>
      <c r="K1" s="21"/>
      <c r="L1" s="21"/>
      <c r="M1" s="21"/>
      <c r="N1" s="21"/>
      <c r="O1" s="21"/>
      <c r="P1" s="21"/>
      <c r="Q1" s="21"/>
      <c r="R1" s="21"/>
      <c r="S1" s="21"/>
      <c r="T1" s="21"/>
      <c r="U1" s="21"/>
      <c r="V1" s="21"/>
      <c r="W1" s="21"/>
      <c r="X1" s="21"/>
      <c r="Y1" s="21"/>
      <c r="Z1" s="21"/>
    </row>
    <row r="2" spans="2:26" x14ac:dyDescent="0.35">
      <c r="B2" s="27"/>
      <c r="E2" s="21"/>
      <c r="F2" s="21"/>
      <c r="G2" s="21"/>
      <c r="H2" s="22"/>
      <c r="I2" s="23"/>
      <c r="J2" s="21"/>
      <c r="K2" s="21"/>
      <c r="L2" s="21"/>
      <c r="M2" s="21"/>
      <c r="N2" s="21"/>
      <c r="O2" s="21"/>
      <c r="P2" s="21"/>
      <c r="Q2" s="21"/>
      <c r="R2" s="21"/>
      <c r="S2" s="21"/>
      <c r="T2" s="21"/>
      <c r="U2" s="21"/>
      <c r="V2" s="21"/>
      <c r="W2" s="21"/>
      <c r="X2" s="21"/>
      <c r="Y2" s="21"/>
      <c r="Z2" s="21"/>
    </row>
    <row r="3" spans="2:26" x14ac:dyDescent="0.35">
      <c r="B3" s="2"/>
      <c r="E3" s="21"/>
      <c r="F3" s="21"/>
      <c r="G3" s="21"/>
      <c r="H3" s="22"/>
      <c r="I3" s="23"/>
      <c r="J3" s="21"/>
      <c r="K3" s="21"/>
      <c r="L3" s="21"/>
      <c r="M3" s="21"/>
      <c r="N3" s="21"/>
      <c r="O3" s="21"/>
      <c r="P3" s="21"/>
      <c r="Q3" s="21"/>
      <c r="R3" s="21"/>
      <c r="S3" s="21"/>
      <c r="T3" s="21"/>
      <c r="U3" s="21"/>
      <c r="V3" s="21"/>
      <c r="W3" s="21"/>
      <c r="X3" s="21"/>
      <c r="Y3" s="21"/>
      <c r="Z3" s="21"/>
    </row>
    <row r="4" spans="2:26" x14ac:dyDescent="0.35">
      <c r="E4" s="21"/>
      <c r="F4" s="21"/>
      <c r="G4" s="21"/>
      <c r="H4" s="22"/>
      <c r="I4" s="23"/>
      <c r="J4" s="21"/>
      <c r="K4" s="21"/>
      <c r="L4" s="21"/>
      <c r="M4" s="21"/>
      <c r="N4" s="21"/>
      <c r="O4" s="21"/>
      <c r="P4" s="21"/>
      <c r="Q4" s="21"/>
      <c r="R4" s="21"/>
      <c r="S4" s="21"/>
      <c r="T4" s="21"/>
      <c r="U4" s="21"/>
      <c r="V4" s="21"/>
      <c r="W4" s="21"/>
      <c r="X4" s="21"/>
      <c r="Y4" s="21"/>
      <c r="Z4" s="21"/>
    </row>
    <row r="5" spans="2:26" x14ac:dyDescent="0.35">
      <c r="E5" s="21"/>
      <c r="F5" s="21"/>
      <c r="G5" s="21"/>
      <c r="H5" s="22"/>
      <c r="I5" s="23"/>
      <c r="J5" s="21"/>
      <c r="K5" s="21"/>
      <c r="L5" s="21"/>
      <c r="M5" s="21"/>
      <c r="N5" s="21"/>
      <c r="O5" s="21"/>
      <c r="P5" s="21"/>
      <c r="Q5" s="21"/>
      <c r="R5" s="21"/>
      <c r="S5" s="21"/>
      <c r="T5" s="21"/>
      <c r="U5" s="21"/>
      <c r="V5" s="21"/>
      <c r="W5" s="21"/>
      <c r="X5" s="21"/>
      <c r="Y5" s="21"/>
      <c r="Z5" s="21"/>
    </row>
    <row r="6" spans="2:26" x14ac:dyDescent="0.35">
      <c r="B6" s="29"/>
      <c r="C6" s="27"/>
      <c r="D6" s="27"/>
      <c r="E6" s="23"/>
      <c r="F6" s="21"/>
      <c r="G6" s="83"/>
      <c r="H6" s="22"/>
      <c r="I6" s="23"/>
      <c r="J6" s="21"/>
      <c r="K6" s="21"/>
      <c r="L6" s="21"/>
      <c r="M6" s="21"/>
      <c r="N6" s="21"/>
      <c r="O6" s="21"/>
      <c r="P6" s="21"/>
      <c r="Q6" s="21"/>
      <c r="R6" s="21"/>
      <c r="S6" s="21"/>
      <c r="T6" s="21"/>
      <c r="U6" s="21"/>
      <c r="V6" s="21"/>
      <c r="W6" s="21"/>
      <c r="X6" s="21"/>
      <c r="Y6" s="21"/>
      <c r="Z6" s="21"/>
    </row>
    <row r="7" spans="2:26" x14ac:dyDescent="0.35">
      <c r="B7" s="29"/>
      <c r="C7" s="27"/>
      <c r="D7" s="27"/>
      <c r="E7" s="23"/>
      <c r="F7" s="21"/>
      <c r="G7" s="83"/>
      <c r="H7" s="22"/>
      <c r="I7" s="23"/>
      <c r="J7" s="21"/>
      <c r="K7" s="21"/>
      <c r="L7" s="21"/>
      <c r="M7" s="21"/>
      <c r="N7" s="21"/>
      <c r="O7" s="21"/>
      <c r="P7" s="21"/>
      <c r="Q7" s="21"/>
      <c r="R7" s="21"/>
      <c r="S7" s="21"/>
      <c r="T7" s="21"/>
      <c r="U7" s="21"/>
      <c r="V7" s="21"/>
      <c r="W7" s="21"/>
      <c r="X7" s="21"/>
      <c r="Y7" s="21"/>
      <c r="Z7" s="21"/>
    </row>
    <row r="8" spans="2:26" x14ac:dyDescent="0.35">
      <c r="B8" s="29"/>
      <c r="C8" s="27"/>
      <c r="D8" s="27"/>
      <c r="E8" s="23"/>
      <c r="F8" s="21"/>
      <c r="G8" s="83"/>
      <c r="H8" s="22"/>
      <c r="I8" s="23"/>
      <c r="J8" s="21"/>
      <c r="K8" s="21"/>
      <c r="L8" s="21"/>
      <c r="M8" s="21"/>
      <c r="N8" s="21"/>
      <c r="O8" s="21"/>
      <c r="P8" s="21"/>
      <c r="Q8" s="21"/>
      <c r="R8" s="21"/>
      <c r="S8" s="21"/>
      <c r="T8" s="21"/>
      <c r="U8" s="21"/>
      <c r="V8" s="21"/>
      <c r="W8" s="21"/>
      <c r="X8" s="21"/>
      <c r="Y8" s="21"/>
      <c r="Z8" s="21"/>
    </row>
    <row r="9" spans="2:26" x14ac:dyDescent="0.35">
      <c r="B9" s="29"/>
      <c r="C9" s="27"/>
      <c r="D9" s="27"/>
      <c r="E9" s="23"/>
      <c r="F9" s="21"/>
      <c r="G9" s="83"/>
      <c r="H9" s="22"/>
      <c r="I9" s="23"/>
      <c r="J9" s="21"/>
      <c r="K9" s="21"/>
      <c r="L9" s="21"/>
      <c r="M9" s="21"/>
      <c r="N9" s="21"/>
      <c r="O9" s="21"/>
      <c r="P9" s="21"/>
      <c r="Q9" s="21"/>
      <c r="R9" s="21"/>
      <c r="S9" s="21"/>
      <c r="T9" s="21"/>
      <c r="U9" s="21"/>
      <c r="V9" s="21"/>
      <c r="W9" s="21"/>
      <c r="X9" s="21"/>
      <c r="Y9" s="21"/>
      <c r="Z9" s="21"/>
    </row>
    <row r="10" spans="2:26" x14ac:dyDescent="0.35">
      <c r="B10" s="29"/>
      <c r="C10" s="27"/>
      <c r="D10" s="27"/>
      <c r="E10" s="23"/>
      <c r="F10" s="21"/>
      <c r="G10" s="83"/>
      <c r="H10" s="22"/>
      <c r="I10" s="23"/>
      <c r="J10" s="21"/>
      <c r="K10" s="21"/>
      <c r="L10" s="21"/>
      <c r="M10" s="21"/>
      <c r="N10" s="21"/>
      <c r="O10" s="21"/>
      <c r="P10" s="21"/>
      <c r="Q10" s="21"/>
      <c r="R10" s="21"/>
      <c r="S10" s="21"/>
      <c r="T10" s="21"/>
      <c r="U10" s="21"/>
      <c r="V10" s="21"/>
      <c r="W10" s="21"/>
      <c r="X10" s="21"/>
      <c r="Y10" s="21"/>
      <c r="Z10" s="21"/>
    </row>
    <row r="11" spans="2:26" x14ac:dyDescent="0.35">
      <c r="B11" s="29"/>
      <c r="C11" s="27"/>
      <c r="D11" s="27"/>
      <c r="E11" s="23"/>
      <c r="F11" s="21"/>
      <c r="G11" s="83"/>
      <c r="H11" s="22"/>
      <c r="I11" s="23"/>
      <c r="J11" s="21"/>
      <c r="K11" s="21"/>
      <c r="L11" s="21"/>
      <c r="M11" s="21"/>
      <c r="N11" s="21"/>
      <c r="O11" s="21"/>
      <c r="P11" s="21"/>
      <c r="Q11" s="21"/>
      <c r="R11" s="21"/>
      <c r="S11" s="21"/>
      <c r="T11" s="21"/>
      <c r="U11" s="21"/>
      <c r="V11" s="21"/>
      <c r="W11" s="21"/>
      <c r="X11" s="21"/>
      <c r="Y11" s="21"/>
      <c r="Z11" s="21"/>
    </row>
    <row r="12" spans="2:26" x14ac:dyDescent="0.35">
      <c r="B12" s="29"/>
      <c r="C12" s="27"/>
      <c r="D12" s="27"/>
      <c r="E12" s="23"/>
      <c r="F12" s="21"/>
      <c r="G12" s="21"/>
      <c r="H12" s="22"/>
      <c r="I12" s="23"/>
      <c r="J12" s="21"/>
      <c r="K12" s="21"/>
      <c r="L12" s="21"/>
      <c r="M12" s="21"/>
      <c r="N12" s="21"/>
      <c r="O12" s="21"/>
      <c r="P12" s="21"/>
      <c r="Q12" s="21"/>
      <c r="R12" s="21"/>
      <c r="S12" s="21"/>
      <c r="T12" s="21"/>
      <c r="U12" s="21"/>
      <c r="V12" s="21"/>
      <c r="W12" s="21"/>
      <c r="X12" s="21"/>
      <c r="Y12" s="21"/>
      <c r="Z12" s="21"/>
    </row>
    <row r="13" spans="2:26" x14ac:dyDescent="0.35">
      <c r="B13" s="29"/>
      <c r="C13" s="27"/>
      <c r="D13" s="27"/>
      <c r="E13" s="23"/>
      <c r="F13" s="21"/>
      <c r="G13" s="21"/>
      <c r="H13" s="22"/>
      <c r="I13" s="23"/>
      <c r="J13" s="21"/>
      <c r="K13" s="21"/>
      <c r="L13" s="21"/>
      <c r="M13" s="21"/>
      <c r="N13" s="21"/>
      <c r="O13" s="21"/>
      <c r="P13" s="21"/>
      <c r="Q13" s="21"/>
      <c r="R13" s="21"/>
      <c r="S13" s="21"/>
      <c r="T13" s="21"/>
      <c r="U13" s="21"/>
      <c r="V13" s="21"/>
      <c r="W13" s="21"/>
      <c r="X13" s="21"/>
      <c r="Y13" s="21"/>
      <c r="Z13" s="21"/>
    </row>
    <row r="14" spans="2:26" x14ac:dyDescent="0.35">
      <c r="B14" s="29"/>
      <c r="C14" s="27"/>
      <c r="D14" s="27"/>
      <c r="E14" s="23"/>
      <c r="F14" s="21"/>
      <c r="G14" s="21"/>
      <c r="H14" s="22"/>
      <c r="I14" s="23"/>
      <c r="J14" s="21"/>
      <c r="K14" s="21"/>
      <c r="L14" s="21"/>
      <c r="M14" s="21"/>
      <c r="N14" s="21"/>
      <c r="O14" s="21"/>
      <c r="P14" s="21"/>
      <c r="Q14" s="21"/>
      <c r="R14" s="21"/>
      <c r="S14" s="21"/>
      <c r="T14" s="21"/>
      <c r="U14" s="21"/>
      <c r="V14" s="21"/>
      <c r="W14" s="21"/>
      <c r="X14" s="21"/>
      <c r="Y14" s="21"/>
      <c r="Z14" s="21"/>
    </row>
    <row r="15" spans="2:26" x14ac:dyDescent="0.35">
      <c r="B15" s="29"/>
      <c r="C15" s="27"/>
      <c r="D15" s="27"/>
      <c r="E15" s="23"/>
      <c r="F15" s="21"/>
      <c r="G15" s="83"/>
      <c r="H15" s="196"/>
      <c r="I15" s="23"/>
      <c r="J15" s="21"/>
      <c r="K15" s="21"/>
      <c r="L15" s="21"/>
      <c r="M15" s="21"/>
      <c r="N15" s="21"/>
      <c r="O15" s="21"/>
      <c r="P15" s="21"/>
      <c r="Q15" s="21"/>
      <c r="R15" s="21"/>
      <c r="S15" s="21"/>
      <c r="T15" s="21"/>
      <c r="U15" s="21"/>
      <c r="V15" s="21"/>
      <c r="W15" s="21"/>
      <c r="X15" s="21"/>
      <c r="Y15" s="21"/>
      <c r="Z15" s="21"/>
    </row>
    <row r="16" spans="2:26" x14ac:dyDescent="0.35">
      <c r="B16" s="29"/>
      <c r="C16" s="27"/>
      <c r="D16" s="27"/>
      <c r="E16" s="23"/>
      <c r="F16" s="21"/>
      <c r="G16" s="83"/>
      <c r="H16" s="22"/>
      <c r="I16" s="23"/>
      <c r="J16" s="21"/>
      <c r="K16" s="21"/>
      <c r="L16" s="21"/>
      <c r="M16" s="21"/>
      <c r="N16" s="21"/>
      <c r="O16" s="21"/>
      <c r="P16" s="21"/>
      <c r="Q16" s="21"/>
      <c r="R16" s="21"/>
      <c r="S16" s="21"/>
      <c r="T16" s="21"/>
      <c r="U16" s="21"/>
      <c r="V16" s="21"/>
      <c r="W16" s="21"/>
      <c r="X16" s="21"/>
      <c r="Y16" s="21"/>
      <c r="Z16" s="21"/>
    </row>
    <row r="17" spans="2:26" x14ac:dyDescent="0.35">
      <c r="B17" s="29"/>
      <c r="C17" s="27"/>
      <c r="D17" s="27"/>
      <c r="E17" s="23"/>
      <c r="F17" s="21"/>
      <c r="G17" s="83"/>
      <c r="H17" s="22"/>
      <c r="I17" s="23"/>
      <c r="J17" s="21"/>
      <c r="K17" s="21"/>
      <c r="L17" s="21"/>
      <c r="M17" s="21"/>
      <c r="N17" s="21"/>
      <c r="O17" s="21"/>
      <c r="P17" s="21"/>
      <c r="Q17" s="21"/>
      <c r="R17" s="21"/>
      <c r="S17" s="21"/>
      <c r="T17" s="21"/>
      <c r="U17" s="21"/>
      <c r="V17" s="21"/>
      <c r="W17" s="21"/>
      <c r="X17" s="21"/>
      <c r="Y17" s="21"/>
      <c r="Z17" s="21"/>
    </row>
    <row r="18" spans="2:26" x14ac:dyDescent="0.35">
      <c r="B18" s="29"/>
      <c r="C18" s="27"/>
      <c r="D18" s="27"/>
      <c r="E18" s="23"/>
      <c r="F18" s="21"/>
      <c r="G18" s="83"/>
      <c r="H18" s="22"/>
      <c r="I18" s="23"/>
      <c r="J18" s="21"/>
      <c r="K18" s="21"/>
      <c r="L18" s="21"/>
      <c r="M18" s="21"/>
      <c r="N18" s="21"/>
      <c r="O18" s="21"/>
      <c r="P18" s="21"/>
      <c r="Q18" s="21"/>
      <c r="R18" s="21"/>
      <c r="S18" s="21"/>
      <c r="T18" s="21"/>
      <c r="U18" s="21"/>
      <c r="V18" s="21"/>
      <c r="W18" s="21"/>
      <c r="X18" s="21"/>
      <c r="Y18" s="21"/>
      <c r="Z18" s="21"/>
    </row>
    <row r="19" spans="2:26" x14ac:dyDescent="0.35">
      <c r="B19" s="29"/>
      <c r="C19" s="27"/>
      <c r="D19" s="27"/>
      <c r="E19" s="23"/>
      <c r="F19" s="21"/>
      <c r="G19" s="83"/>
      <c r="H19" s="22"/>
      <c r="I19" s="23"/>
      <c r="J19" s="21"/>
      <c r="K19" s="21"/>
      <c r="L19" s="21"/>
      <c r="M19" s="21"/>
      <c r="N19" s="21"/>
      <c r="O19" s="21"/>
      <c r="P19" s="21"/>
      <c r="Q19" s="21"/>
      <c r="R19" s="21"/>
      <c r="S19" s="21"/>
      <c r="T19" s="21"/>
      <c r="U19" s="21"/>
      <c r="V19" s="21"/>
      <c r="W19" s="21"/>
      <c r="X19" s="21"/>
      <c r="Y19" s="21"/>
      <c r="Z19" s="21"/>
    </row>
    <row r="20" spans="2:26" x14ac:dyDescent="0.35">
      <c r="B20" s="29"/>
      <c r="C20" s="27"/>
      <c r="D20" s="27"/>
      <c r="E20" s="23"/>
      <c r="F20" s="21"/>
      <c r="G20" s="83"/>
      <c r="H20" s="22"/>
      <c r="I20" s="23"/>
      <c r="J20" s="21"/>
      <c r="K20" s="21"/>
      <c r="L20" s="21"/>
      <c r="M20" s="21"/>
      <c r="N20" s="21"/>
      <c r="O20" s="21"/>
      <c r="P20" s="21"/>
      <c r="Q20" s="21"/>
      <c r="R20" s="21"/>
      <c r="S20" s="21"/>
      <c r="T20" s="21"/>
      <c r="U20" s="21"/>
      <c r="V20" s="21"/>
      <c r="W20" s="21"/>
      <c r="X20" s="21"/>
      <c r="Y20" s="21"/>
      <c r="Z20" s="21"/>
    </row>
    <row r="21" spans="2:26" x14ac:dyDescent="0.35">
      <c r="B21" s="29"/>
      <c r="C21" s="27"/>
      <c r="D21" s="27"/>
      <c r="E21" s="23"/>
      <c r="F21" s="21"/>
      <c r="G21" s="83"/>
      <c r="H21" s="22"/>
      <c r="I21" s="23"/>
      <c r="J21" s="21"/>
      <c r="K21" s="21"/>
      <c r="L21" s="21"/>
      <c r="M21" s="21"/>
      <c r="N21" s="21"/>
      <c r="O21" s="21"/>
      <c r="P21" s="21"/>
      <c r="Q21" s="21"/>
      <c r="R21" s="21"/>
      <c r="S21" s="21"/>
      <c r="T21" s="21"/>
      <c r="U21" s="21"/>
      <c r="V21" s="21"/>
      <c r="W21" s="21"/>
      <c r="X21" s="21"/>
      <c r="Y21" s="21"/>
      <c r="Z21" s="21"/>
    </row>
    <row r="22" spans="2:26" x14ac:dyDescent="0.35">
      <c r="B22" s="29"/>
      <c r="C22" s="27"/>
      <c r="D22" s="27"/>
      <c r="E22" s="23"/>
      <c r="F22" s="21"/>
      <c r="G22" s="83"/>
      <c r="H22" s="22"/>
      <c r="I22" s="23"/>
      <c r="J22" s="21"/>
      <c r="K22" s="21"/>
      <c r="L22" s="21"/>
      <c r="M22" s="21"/>
      <c r="N22" s="21"/>
      <c r="O22" s="21"/>
      <c r="P22" s="21"/>
      <c r="Q22" s="21"/>
      <c r="R22" s="21"/>
      <c r="S22" s="21"/>
      <c r="T22" s="21"/>
      <c r="U22" s="21"/>
      <c r="V22" s="21"/>
      <c r="W22" s="21"/>
      <c r="X22" s="21"/>
      <c r="Y22" s="21"/>
      <c r="Z22" s="21"/>
    </row>
    <row r="23" spans="2:26" x14ac:dyDescent="0.35">
      <c r="B23" s="29"/>
      <c r="C23" s="27"/>
      <c r="D23" s="27"/>
      <c r="E23" s="23"/>
      <c r="F23" s="21"/>
      <c r="G23" s="83"/>
      <c r="H23" s="22"/>
      <c r="I23" s="23"/>
      <c r="J23" s="21"/>
      <c r="K23" s="21"/>
      <c r="L23" s="21"/>
      <c r="M23" s="21"/>
      <c r="N23" s="21"/>
      <c r="O23" s="21"/>
      <c r="P23" s="21"/>
      <c r="Q23" s="21"/>
      <c r="R23" s="21"/>
      <c r="S23" s="21"/>
      <c r="T23" s="21"/>
      <c r="U23" s="21"/>
      <c r="V23" s="21"/>
      <c r="W23" s="21"/>
      <c r="X23" s="21"/>
      <c r="Y23" s="21"/>
      <c r="Z23" s="21"/>
    </row>
    <row r="24" spans="2:26" x14ac:dyDescent="0.35">
      <c r="B24" s="29"/>
      <c r="C24" s="27"/>
      <c r="D24" s="27"/>
      <c r="E24" s="23"/>
      <c r="F24" s="21"/>
      <c r="G24" s="83"/>
      <c r="H24" s="22"/>
      <c r="I24" s="23"/>
      <c r="J24" s="21"/>
      <c r="K24" s="21"/>
      <c r="L24" s="21"/>
      <c r="M24" s="21"/>
      <c r="N24" s="21"/>
      <c r="O24" s="21"/>
      <c r="P24" s="21"/>
      <c r="Q24" s="21"/>
      <c r="R24" s="21"/>
      <c r="S24" s="21"/>
      <c r="T24" s="21"/>
      <c r="U24" s="21"/>
      <c r="V24" s="21"/>
      <c r="W24" s="21"/>
      <c r="X24" s="21"/>
      <c r="Y24" s="21"/>
      <c r="Z24" s="21"/>
    </row>
    <row r="25" spans="2:26" x14ac:dyDescent="0.35">
      <c r="B25" s="29"/>
      <c r="C25" s="27"/>
      <c r="D25" s="27"/>
      <c r="E25" s="23"/>
      <c r="F25" s="21"/>
      <c r="G25" s="83"/>
      <c r="H25" s="22"/>
      <c r="I25" s="23"/>
      <c r="J25" s="21"/>
      <c r="K25" s="21"/>
      <c r="L25" s="21"/>
      <c r="M25" s="21"/>
      <c r="N25" s="21"/>
      <c r="O25" s="21"/>
      <c r="P25" s="21"/>
      <c r="Q25" s="21"/>
      <c r="R25" s="21"/>
      <c r="S25" s="21"/>
      <c r="T25" s="21"/>
      <c r="U25" s="21"/>
      <c r="V25" s="21"/>
      <c r="W25" s="21"/>
      <c r="X25" s="21"/>
      <c r="Y25" s="21"/>
      <c r="Z25" s="21"/>
    </row>
    <row r="26" spans="2:26" x14ac:dyDescent="0.35">
      <c r="B26" s="29"/>
      <c r="C26" s="27"/>
      <c r="D26" s="27"/>
      <c r="E26" s="23"/>
      <c r="F26" s="21"/>
      <c r="G26" s="83"/>
      <c r="H26" s="22"/>
      <c r="I26" s="23"/>
      <c r="J26" s="21"/>
      <c r="K26" s="21"/>
      <c r="L26" s="21"/>
      <c r="M26" s="21"/>
      <c r="N26" s="21"/>
      <c r="O26" s="21"/>
      <c r="P26" s="21"/>
      <c r="Q26" s="21"/>
      <c r="R26" s="21"/>
      <c r="S26" s="21"/>
      <c r="T26" s="21"/>
      <c r="U26" s="21"/>
      <c r="V26" s="21"/>
      <c r="W26" s="21"/>
      <c r="X26" s="21"/>
      <c r="Y26" s="21"/>
      <c r="Z26" s="21"/>
    </row>
    <row r="27" spans="2:26" x14ac:dyDescent="0.35">
      <c r="B27" s="29"/>
      <c r="C27" s="27"/>
      <c r="D27" s="27"/>
      <c r="E27" s="23"/>
      <c r="F27" s="21"/>
      <c r="G27" s="83"/>
      <c r="H27" s="22"/>
      <c r="I27" s="23"/>
      <c r="J27" s="21"/>
      <c r="K27" s="21"/>
      <c r="L27" s="21"/>
      <c r="M27" s="21"/>
      <c r="N27" s="21"/>
      <c r="O27" s="21"/>
      <c r="P27" s="21"/>
      <c r="Q27" s="21"/>
      <c r="R27" s="21"/>
      <c r="S27" s="21"/>
      <c r="T27" s="21"/>
      <c r="U27" s="21"/>
      <c r="V27" s="21"/>
      <c r="W27" s="21"/>
      <c r="X27" s="21"/>
      <c r="Y27" s="21"/>
      <c r="Z27" s="21"/>
    </row>
    <row r="28" spans="2:26" x14ac:dyDescent="0.35">
      <c r="B28" s="29"/>
      <c r="C28" s="27"/>
      <c r="D28" s="27"/>
      <c r="E28" s="23"/>
      <c r="F28" s="21"/>
      <c r="G28" s="83"/>
      <c r="H28" s="14"/>
      <c r="I28" s="23"/>
      <c r="J28" s="21"/>
      <c r="K28" s="21"/>
      <c r="L28" s="21"/>
      <c r="M28" s="21"/>
      <c r="N28" s="21"/>
      <c r="O28" s="21"/>
      <c r="P28" s="21"/>
      <c r="Q28" s="21"/>
      <c r="R28" s="21"/>
      <c r="S28" s="21"/>
      <c r="T28" s="21"/>
      <c r="U28" s="21"/>
      <c r="V28" s="21"/>
      <c r="W28" s="21"/>
      <c r="X28" s="21"/>
      <c r="Y28" s="21"/>
      <c r="Z28" s="21"/>
    </row>
    <row r="29" spans="2:26" x14ac:dyDescent="0.35">
      <c r="B29" s="29"/>
      <c r="C29" s="27"/>
      <c r="D29" s="27"/>
      <c r="E29" s="23"/>
      <c r="F29" s="21"/>
      <c r="G29" s="83"/>
      <c r="H29" s="22"/>
      <c r="I29" s="23"/>
      <c r="J29" s="21"/>
      <c r="K29" s="21"/>
      <c r="L29" s="21"/>
      <c r="M29" s="21"/>
      <c r="N29" s="21"/>
      <c r="O29" s="21"/>
      <c r="P29" s="21"/>
      <c r="Q29" s="21"/>
      <c r="R29" s="21"/>
      <c r="S29" s="21"/>
      <c r="T29" s="21"/>
      <c r="U29" s="21"/>
      <c r="V29" s="21"/>
      <c r="W29" s="21"/>
      <c r="X29" s="21"/>
      <c r="Y29" s="21"/>
      <c r="Z29" s="21"/>
    </row>
    <row r="30" spans="2:26" x14ac:dyDescent="0.35">
      <c r="B30" s="2" t="s">
        <v>798</v>
      </c>
      <c r="C30" s="27"/>
      <c r="D30" s="27"/>
      <c r="E30" s="23"/>
      <c r="F30" s="21"/>
      <c r="G30" s="83"/>
      <c r="H30" s="22"/>
      <c r="I30" s="23"/>
      <c r="J30" s="21"/>
      <c r="K30" s="21"/>
      <c r="L30" s="21"/>
      <c r="M30" s="21"/>
      <c r="N30" s="21"/>
      <c r="O30" s="21"/>
      <c r="P30" s="21"/>
      <c r="Q30" s="21"/>
      <c r="R30" s="21"/>
      <c r="S30" s="21"/>
      <c r="T30" s="21"/>
      <c r="U30" s="21"/>
      <c r="V30" s="21"/>
      <c r="W30" s="21"/>
      <c r="X30" s="21"/>
      <c r="Y30" s="21"/>
      <c r="Z30" s="21"/>
    </row>
    <row r="31" spans="2:26" ht="18" x14ac:dyDescent="0.4">
      <c r="B31" s="44" t="s">
        <v>1017</v>
      </c>
      <c r="C31" s="27"/>
      <c r="D31" s="27"/>
      <c r="E31" s="23"/>
      <c r="F31" s="21"/>
      <c r="G31" s="21"/>
      <c r="H31" s="22"/>
      <c r="I31" s="23"/>
      <c r="J31" s="21"/>
      <c r="K31" s="21"/>
      <c r="L31" s="21"/>
      <c r="M31" s="21"/>
      <c r="N31" s="21"/>
      <c r="O31" s="21"/>
      <c r="P31" s="21"/>
      <c r="Q31" s="21"/>
      <c r="R31" s="21"/>
      <c r="S31" s="21"/>
      <c r="T31" s="21"/>
      <c r="U31" s="21"/>
      <c r="V31" s="21"/>
      <c r="W31" s="21"/>
      <c r="X31" s="21"/>
      <c r="Y31" s="21"/>
      <c r="Z31" s="21"/>
    </row>
    <row r="32" spans="2:26" x14ac:dyDescent="0.35">
      <c r="B32" s="2" t="s">
        <v>1018</v>
      </c>
      <c r="C32" s="27"/>
      <c r="D32" s="27"/>
      <c r="E32" s="23"/>
      <c r="G32" s="21"/>
      <c r="H32" s="22"/>
      <c r="I32" s="23"/>
      <c r="J32" s="21"/>
      <c r="K32" s="21"/>
      <c r="L32" s="21"/>
      <c r="M32" s="21"/>
      <c r="N32" s="21"/>
      <c r="O32" s="21"/>
      <c r="P32" s="21"/>
      <c r="Q32" s="83"/>
      <c r="R32" s="22"/>
      <c r="S32" s="23"/>
      <c r="T32" s="21"/>
      <c r="U32" s="21"/>
      <c r="V32" s="21"/>
      <c r="W32" s="21"/>
      <c r="X32" s="21"/>
      <c r="Y32" s="21"/>
      <c r="Z32" s="21"/>
    </row>
    <row r="33" spans="2:26" ht="16" thickBot="1" x14ac:dyDescent="0.4">
      <c r="C33" s="88" t="s">
        <v>13</v>
      </c>
      <c r="D33" s="27"/>
      <c r="E33" s="23"/>
      <c r="F33" s="47" t="s">
        <v>1012</v>
      </c>
      <c r="G33" s="21"/>
      <c r="H33" s="22"/>
      <c r="I33" s="23"/>
      <c r="J33" s="21"/>
      <c r="K33" s="21"/>
      <c r="L33" s="21"/>
      <c r="M33" s="21"/>
      <c r="N33" s="21"/>
      <c r="O33" s="21"/>
      <c r="P33" s="21"/>
      <c r="Q33" s="83"/>
      <c r="R33" s="22"/>
      <c r="S33" s="23"/>
      <c r="T33" s="21"/>
      <c r="U33" s="21"/>
      <c r="V33" s="21"/>
      <c r="W33" s="21"/>
      <c r="X33" s="21"/>
      <c r="Y33" s="21"/>
      <c r="Z33" s="21"/>
    </row>
    <row r="34" spans="2:26" x14ac:dyDescent="0.35">
      <c r="B34" s="29" t="s">
        <v>1007</v>
      </c>
      <c r="C34" s="89">
        <v>800</v>
      </c>
      <c r="D34" s="27" t="s">
        <v>28</v>
      </c>
      <c r="E34" s="20" t="s">
        <v>1013</v>
      </c>
      <c r="F34" s="333">
        <f>C34/100</f>
        <v>8</v>
      </c>
      <c r="G34" s="384" t="s">
        <v>963</v>
      </c>
      <c r="H34" s="36"/>
      <c r="I34" s="23"/>
      <c r="J34" s="21"/>
      <c r="K34" s="21"/>
      <c r="L34" s="21"/>
      <c r="M34" s="21"/>
      <c r="N34" s="21"/>
      <c r="O34" s="21"/>
      <c r="P34" s="21"/>
      <c r="Q34" s="83"/>
      <c r="R34" s="22"/>
      <c r="S34" s="23"/>
      <c r="T34" s="21"/>
      <c r="U34" s="21"/>
      <c r="V34" s="21"/>
      <c r="W34" s="21"/>
      <c r="X34" s="21"/>
      <c r="Y34" s="21"/>
      <c r="Z34" s="21"/>
    </row>
    <row r="35" spans="2:26" ht="16" thickBot="1" x14ac:dyDescent="0.4">
      <c r="B35" s="29" t="s">
        <v>1008</v>
      </c>
      <c r="C35" s="135">
        <v>50</v>
      </c>
      <c r="D35" s="27" t="s">
        <v>28</v>
      </c>
      <c r="E35" s="20" t="s">
        <v>1014</v>
      </c>
      <c r="F35" s="333">
        <f>C35/100</f>
        <v>0.5</v>
      </c>
      <c r="G35" s="384" t="s">
        <v>963</v>
      </c>
      <c r="H35" s="36"/>
      <c r="I35" s="23"/>
      <c r="J35" s="21"/>
      <c r="K35" s="21"/>
      <c r="L35" s="21"/>
      <c r="M35" s="21"/>
      <c r="N35" s="21"/>
      <c r="O35" s="21"/>
      <c r="P35" s="21"/>
      <c r="Q35" s="83"/>
      <c r="R35" s="22"/>
      <c r="S35" s="23"/>
      <c r="T35" s="21"/>
      <c r="U35" s="21"/>
      <c r="V35" s="21"/>
      <c r="W35" s="21"/>
      <c r="X35" s="21"/>
      <c r="Y35" s="21"/>
      <c r="Z35" s="21"/>
    </row>
    <row r="36" spans="2:26" x14ac:dyDescent="0.35">
      <c r="B36" s="29" t="s">
        <v>1005</v>
      </c>
      <c r="C36" s="135">
        <v>600</v>
      </c>
      <c r="D36" s="27" t="s">
        <v>8</v>
      </c>
      <c r="E36" s="20" t="s">
        <v>1009</v>
      </c>
      <c r="F36" s="89">
        <v>3700</v>
      </c>
      <c r="G36" s="384" t="s">
        <v>76</v>
      </c>
      <c r="H36" s="36"/>
      <c r="I36" s="23"/>
      <c r="J36" s="21"/>
      <c r="K36" s="21"/>
      <c r="L36" s="21"/>
      <c r="M36" s="21"/>
      <c r="N36" s="21"/>
      <c r="O36" s="21"/>
      <c r="P36" s="21"/>
      <c r="Q36" s="83"/>
      <c r="R36" s="22"/>
      <c r="S36" s="23"/>
      <c r="T36" s="21"/>
      <c r="U36" s="21"/>
      <c r="V36" s="21"/>
      <c r="W36" s="21"/>
      <c r="X36" s="21"/>
      <c r="Y36" s="21"/>
      <c r="Z36" s="21"/>
    </row>
    <row r="37" spans="2:26" ht="18.5" thickBot="1" x14ac:dyDescent="0.45">
      <c r="B37" s="29" t="s">
        <v>1006</v>
      </c>
      <c r="C37" s="135">
        <v>300</v>
      </c>
      <c r="D37" s="27" t="s">
        <v>8</v>
      </c>
      <c r="E37" s="20" t="s">
        <v>1010</v>
      </c>
      <c r="F37" s="91">
        <v>3076</v>
      </c>
      <c r="G37" s="384" t="s">
        <v>1015</v>
      </c>
      <c r="H37" s="36"/>
      <c r="I37" s="19" t="s">
        <v>1022</v>
      </c>
      <c r="J37" s="21"/>
      <c r="K37" s="21"/>
      <c r="L37" s="21"/>
      <c r="M37" s="21"/>
      <c r="N37" s="21"/>
      <c r="O37" s="21"/>
      <c r="P37" s="21"/>
      <c r="Q37" s="83"/>
      <c r="R37" s="22"/>
      <c r="S37" s="23"/>
      <c r="T37" s="21"/>
      <c r="U37" s="21"/>
      <c r="V37" s="21"/>
      <c r="W37" s="21"/>
      <c r="X37" s="21"/>
      <c r="Y37" s="21"/>
      <c r="Z37" s="21"/>
    </row>
    <row r="38" spans="2:26" ht="18.5" thickBot="1" x14ac:dyDescent="0.45">
      <c r="B38" s="29" t="s">
        <v>1020</v>
      </c>
      <c r="C38" s="419">
        <v>300</v>
      </c>
      <c r="D38" s="20" t="s">
        <v>1004</v>
      </c>
      <c r="F38" s="88" t="s">
        <v>1024</v>
      </c>
      <c r="G38" s="385"/>
      <c r="H38" s="36"/>
      <c r="I38" s="388" t="s">
        <v>1011</v>
      </c>
      <c r="J38" s="49"/>
      <c r="K38" s="49"/>
      <c r="L38" s="49"/>
      <c r="M38" s="49"/>
      <c r="N38" s="49"/>
      <c r="O38" s="50"/>
      <c r="P38" s="21"/>
      <c r="Q38" s="83"/>
      <c r="R38" s="22"/>
      <c r="S38" s="23"/>
      <c r="T38" s="21"/>
      <c r="U38" s="21"/>
      <c r="V38" s="21"/>
      <c r="W38" s="21"/>
      <c r="X38" s="21"/>
      <c r="Y38" s="21"/>
      <c r="Z38" s="21"/>
    </row>
    <row r="39" spans="2:26" x14ac:dyDescent="0.35">
      <c r="C39" s="88" t="s">
        <v>3</v>
      </c>
      <c r="F39" s="21"/>
      <c r="G39" s="36"/>
      <c r="H39" s="164"/>
      <c r="I39" s="23"/>
      <c r="J39" s="21"/>
      <c r="K39" s="21"/>
      <c r="L39" s="21"/>
      <c r="M39" s="21"/>
      <c r="N39" s="21"/>
      <c r="O39" s="21"/>
      <c r="P39" s="21"/>
      <c r="Q39" s="83"/>
      <c r="R39" s="22"/>
      <c r="S39" s="23"/>
      <c r="T39" s="21"/>
      <c r="U39" s="21"/>
      <c r="V39" s="21"/>
      <c r="W39" s="21"/>
      <c r="X39" s="21"/>
      <c r="Y39" s="21"/>
      <c r="Z39" s="21"/>
    </row>
    <row r="40" spans="2:26" x14ac:dyDescent="0.35">
      <c r="B40" s="29" t="s">
        <v>1019</v>
      </c>
      <c r="C40" s="20" t="s">
        <v>1021</v>
      </c>
      <c r="T40" s="21"/>
      <c r="U40" s="21"/>
      <c r="V40" s="21"/>
      <c r="W40" s="21"/>
      <c r="X40" s="21"/>
      <c r="Y40" s="21"/>
      <c r="Z40" s="21"/>
    </row>
    <row r="41" spans="2:26" x14ac:dyDescent="0.35">
      <c r="B41" s="86" t="s">
        <v>4</v>
      </c>
      <c r="C41" s="93">
        <f>C38*(F36 - F37)/1000</f>
        <v>187.2</v>
      </c>
      <c r="D41" s="2" t="s">
        <v>68</v>
      </c>
      <c r="T41" s="21"/>
      <c r="U41" s="21"/>
      <c r="V41" s="21"/>
      <c r="W41" s="21"/>
      <c r="X41" s="21"/>
      <c r="Y41" s="21"/>
      <c r="Z41" s="21"/>
    </row>
    <row r="42" spans="2:26" x14ac:dyDescent="0.35">
      <c r="B42" s="29" t="s">
        <v>4</v>
      </c>
      <c r="C42" s="93">
        <f>1000*C41/745.7</f>
        <v>251.03929194045861</v>
      </c>
      <c r="D42" s="2" t="s">
        <v>19</v>
      </c>
      <c r="T42" s="21"/>
      <c r="U42" s="21"/>
      <c r="V42" s="21"/>
      <c r="W42" s="21"/>
      <c r="X42" s="21"/>
      <c r="Y42" s="21"/>
      <c r="Z42" s="21"/>
    </row>
    <row r="43" spans="2:26" x14ac:dyDescent="0.35">
      <c r="T43" s="21"/>
      <c r="U43" s="21"/>
      <c r="V43" s="21"/>
      <c r="W43" s="21"/>
      <c r="X43" s="21"/>
      <c r="Y43" s="21"/>
      <c r="Z43" s="21"/>
    </row>
    <row r="44" spans="2:26" x14ac:dyDescent="0.35">
      <c r="B44" s="4" t="s">
        <v>1023</v>
      </c>
      <c r="E44" s="23"/>
      <c r="F44" s="21"/>
      <c r="G44" s="21"/>
      <c r="H44" s="22"/>
      <c r="I44" s="23"/>
      <c r="J44" s="21"/>
      <c r="K44" s="21"/>
      <c r="L44" s="21"/>
      <c r="M44" s="21"/>
      <c r="N44" s="21"/>
      <c r="O44" s="21"/>
      <c r="P44" s="21"/>
      <c r="Q44" s="83"/>
      <c r="R44" s="22"/>
      <c r="S44" s="23"/>
      <c r="T44" s="23"/>
      <c r="U44" s="21"/>
      <c r="V44" s="21"/>
      <c r="W44" s="21"/>
      <c r="X44" s="21"/>
      <c r="Y44" s="21"/>
      <c r="Z44" s="21"/>
    </row>
    <row r="45" spans="2:26" x14ac:dyDescent="0.35">
      <c r="C45" s="27"/>
      <c r="G45" s="21"/>
      <c r="H45" s="27"/>
      <c r="I45" s="144"/>
      <c r="J45" s="185"/>
      <c r="K45" s="36"/>
      <c r="L45" s="36"/>
      <c r="M45" s="36"/>
      <c r="N45" s="36"/>
      <c r="O45" s="36"/>
      <c r="P45" s="36"/>
      <c r="S45" s="23"/>
      <c r="T45" s="164"/>
      <c r="U45" s="144"/>
      <c r="V45" s="144"/>
      <c r="W45" s="36"/>
      <c r="X45" s="21"/>
      <c r="Y45" s="21"/>
      <c r="Z45" s="21"/>
    </row>
    <row r="46" spans="2:26" ht="18.5" thickBot="1" x14ac:dyDescent="0.45">
      <c r="B46" s="19" t="s">
        <v>1022</v>
      </c>
      <c r="S46" s="23"/>
      <c r="T46" s="177"/>
      <c r="U46" s="144"/>
      <c r="V46" s="144"/>
      <c r="W46" s="36"/>
      <c r="X46" s="21"/>
      <c r="Y46" s="21"/>
      <c r="Z46" s="21"/>
    </row>
    <row r="47" spans="2:26" ht="18.5" thickBot="1" x14ac:dyDescent="0.45">
      <c r="B47" s="387" t="s">
        <v>1011</v>
      </c>
      <c r="C47" s="50"/>
      <c r="D47" s="386"/>
      <c r="S47" s="23"/>
      <c r="T47" s="184"/>
      <c r="U47" s="144"/>
      <c r="V47" s="151"/>
      <c r="W47" s="39"/>
    </row>
    <row r="48" spans="2:26" x14ac:dyDescent="0.35">
      <c r="B48" s="29"/>
      <c r="C48" s="27"/>
      <c r="G48" s="21"/>
      <c r="H48" s="13"/>
      <c r="I48" s="21"/>
      <c r="J48" s="21"/>
      <c r="S48" s="23"/>
      <c r="T48" s="190"/>
      <c r="U48" s="144"/>
      <c r="V48" s="151"/>
      <c r="W48" s="39"/>
    </row>
    <row r="49" spans="2:24" x14ac:dyDescent="0.35">
      <c r="B49" s="29"/>
      <c r="C49" s="27"/>
      <c r="G49" s="21"/>
      <c r="H49" s="23"/>
      <c r="I49" s="21"/>
      <c r="J49" s="21"/>
      <c r="S49" s="36"/>
      <c r="T49" s="184"/>
      <c r="U49" s="144"/>
      <c r="V49" s="151"/>
      <c r="W49" s="39"/>
    </row>
    <row r="50" spans="2:24" x14ac:dyDescent="0.35">
      <c r="B50" s="29"/>
      <c r="C50" s="27"/>
      <c r="G50" s="21"/>
      <c r="H50" s="23"/>
      <c r="I50" s="21"/>
      <c r="J50" s="21"/>
      <c r="S50" s="36"/>
      <c r="T50" s="144"/>
      <c r="U50" s="144"/>
      <c r="V50" s="151"/>
      <c r="W50" s="39"/>
    </row>
    <row r="51" spans="2:24" x14ac:dyDescent="0.35">
      <c r="B51" s="29"/>
      <c r="C51" s="27"/>
      <c r="G51" s="21"/>
      <c r="H51" s="140"/>
      <c r="I51" s="21"/>
      <c r="J51" s="21"/>
      <c r="T51" s="144"/>
      <c r="U51" s="144"/>
      <c r="V51" s="151"/>
      <c r="W51" s="39"/>
    </row>
    <row r="52" spans="2:24" x14ac:dyDescent="0.35">
      <c r="B52" s="29"/>
      <c r="C52" s="27"/>
      <c r="G52" s="21"/>
      <c r="H52" s="208"/>
      <c r="I52" s="21"/>
      <c r="J52" s="21"/>
      <c r="T52" s="144"/>
      <c r="U52" s="144"/>
      <c r="V52" s="151"/>
      <c r="W52" s="39"/>
    </row>
    <row r="53" spans="2:24" x14ac:dyDescent="0.35">
      <c r="B53" s="29"/>
      <c r="C53" s="27"/>
      <c r="G53" s="21"/>
      <c r="H53" s="13"/>
      <c r="I53" s="21"/>
      <c r="J53" s="21"/>
      <c r="T53" s="23"/>
      <c r="U53" s="23"/>
      <c r="V53" s="27"/>
    </row>
    <row r="54" spans="2:24" x14ac:dyDescent="0.35">
      <c r="B54" s="29"/>
      <c r="C54" s="27"/>
      <c r="G54" s="21"/>
      <c r="H54" s="140"/>
      <c r="I54" s="21"/>
      <c r="J54" s="21"/>
      <c r="T54" s="23"/>
      <c r="U54" s="23"/>
      <c r="V54" s="27"/>
      <c r="W54" s="21"/>
      <c r="X54" s="21"/>
    </row>
    <row r="55" spans="2:24" x14ac:dyDescent="0.35">
      <c r="B55" s="29"/>
      <c r="C55" s="27"/>
      <c r="G55" s="21"/>
      <c r="H55" s="209"/>
      <c r="I55" s="21"/>
      <c r="J55" s="21"/>
      <c r="T55" s="23"/>
      <c r="U55" s="23"/>
      <c r="V55" s="27"/>
      <c r="W55" s="21"/>
      <c r="X55" s="21"/>
    </row>
    <row r="56" spans="2:24" x14ac:dyDescent="0.35">
      <c r="B56" s="29"/>
      <c r="C56" s="27"/>
      <c r="G56" s="21"/>
      <c r="H56" s="47"/>
      <c r="I56" s="21"/>
      <c r="J56" s="21"/>
      <c r="T56" s="23"/>
      <c r="U56" s="23"/>
      <c r="V56" s="27"/>
      <c r="W56" s="21"/>
      <c r="X56" s="21"/>
    </row>
    <row r="57" spans="2:24" x14ac:dyDescent="0.35">
      <c r="B57" s="29"/>
      <c r="C57" s="27"/>
      <c r="G57" s="21"/>
      <c r="H57" s="148"/>
      <c r="I57" s="21"/>
      <c r="J57" s="21"/>
      <c r="T57" s="27"/>
      <c r="U57" s="23"/>
      <c r="V57" s="27"/>
      <c r="W57" s="21"/>
      <c r="X57" s="21"/>
    </row>
    <row r="58" spans="2:24" x14ac:dyDescent="0.35">
      <c r="B58" s="29"/>
      <c r="C58" s="27"/>
      <c r="G58" s="21"/>
      <c r="H58" s="23"/>
      <c r="I58" s="21"/>
      <c r="J58" s="21"/>
      <c r="T58" s="27"/>
      <c r="U58" s="23"/>
      <c r="V58" s="27"/>
      <c r="W58" s="21"/>
      <c r="X58" s="21"/>
    </row>
    <row r="59" spans="2:24" x14ac:dyDescent="0.35">
      <c r="B59" s="29"/>
      <c r="C59" s="27"/>
      <c r="G59" s="21"/>
      <c r="H59" s="23"/>
      <c r="I59" s="21"/>
      <c r="J59" s="21"/>
      <c r="T59" s="27"/>
      <c r="U59" s="23"/>
      <c r="V59" s="27"/>
      <c r="W59" s="21"/>
      <c r="X59" s="21"/>
    </row>
    <row r="60" spans="2:24" x14ac:dyDescent="0.35">
      <c r="B60" s="29"/>
      <c r="C60" s="27"/>
      <c r="G60" s="21"/>
      <c r="H60" s="23"/>
      <c r="I60" s="21"/>
      <c r="J60" s="21"/>
      <c r="T60" s="27"/>
      <c r="U60" s="23"/>
      <c r="V60" s="27"/>
      <c r="W60" s="21"/>
      <c r="X60" s="21"/>
    </row>
    <row r="61" spans="2:24" x14ac:dyDescent="0.35">
      <c r="B61" s="29"/>
      <c r="C61" s="27"/>
      <c r="G61" s="21"/>
      <c r="H61" s="23"/>
      <c r="I61" s="21"/>
      <c r="J61" s="21"/>
      <c r="T61" s="27"/>
      <c r="U61" s="23"/>
      <c r="V61" s="27"/>
      <c r="W61" s="21"/>
      <c r="X61" s="21"/>
    </row>
    <row r="62" spans="2:24" x14ac:dyDescent="0.35">
      <c r="B62" s="29"/>
      <c r="C62" s="27"/>
      <c r="G62" s="21"/>
      <c r="H62" s="144"/>
      <c r="I62" s="21"/>
      <c r="J62" s="21"/>
      <c r="T62" s="29"/>
      <c r="U62" s="23"/>
      <c r="V62" s="27"/>
      <c r="W62" s="21"/>
      <c r="X62" s="21"/>
    </row>
    <row r="63" spans="2:24" x14ac:dyDescent="0.35">
      <c r="B63" s="29"/>
      <c r="C63" s="27"/>
      <c r="G63" s="21"/>
      <c r="H63" s="22"/>
      <c r="I63" s="23"/>
      <c r="J63" s="21"/>
      <c r="K63" s="21"/>
      <c r="T63" s="29"/>
      <c r="U63" s="23"/>
      <c r="V63" s="27"/>
    </row>
    <row r="64" spans="2:24" x14ac:dyDescent="0.35">
      <c r="B64" s="29"/>
      <c r="C64" s="27"/>
      <c r="G64" s="21"/>
      <c r="H64" s="22"/>
      <c r="I64" s="23"/>
      <c r="J64" s="21"/>
      <c r="K64" s="21"/>
      <c r="T64" s="29"/>
      <c r="U64" s="27"/>
      <c r="V64" s="27"/>
      <c r="W64" s="21"/>
      <c r="X64" s="21"/>
    </row>
    <row r="65" spans="2:27" x14ac:dyDescent="0.35">
      <c r="B65" s="29"/>
      <c r="C65" s="27"/>
      <c r="G65" s="21"/>
      <c r="H65" s="22"/>
      <c r="I65" s="23"/>
      <c r="J65" s="21"/>
      <c r="K65" s="21"/>
      <c r="T65" s="29"/>
      <c r="U65" s="27"/>
      <c r="V65" s="33"/>
      <c r="W65" s="21"/>
      <c r="X65" s="21"/>
    </row>
    <row r="66" spans="2:27" x14ac:dyDescent="0.35">
      <c r="B66" s="29"/>
      <c r="C66" s="27"/>
      <c r="G66" s="21"/>
      <c r="H66" s="22"/>
      <c r="I66" s="23"/>
      <c r="J66" s="21"/>
      <c r="K66" s="21"/>
      <c r="T66" s="29"/>
      <c r="U66" s="23"/>
      <c r="W66" s="21"/>
      <c r="X66" s="21"/>
    </row>
    <row r="67" spans="2:27" x14ac:dyDescent="0.35">
      <c r="B67" s="29"/>
      <c r="C67" s="27"/>
      <c r="G67" s="21"/>
      <c r="H67" s="22"/>
      <c r="I67" s="23"/>
      <c r="J67" s="21"/>
      <c r="K67" s="21"/>
      <c r="T67" s="29"/>
      <c r="U67" s="33"/>
      <c r="V67" s="27"/>
      <c r="W67" s="36"/>
      <c r="X67" s="21"/>
    </row>
    <row r="68" spans="2:27" x14ac:dyDescent="0.35">
      <c r="B68" s="29"/>
      <c r="C68" s="27"/>
      <c r="G68" s="21"/>
      <c r="H68" s="22"/>
      <c r="I68" s="23"/>
      <c r="J68" s="21"/>
      <c r="K68" s="21"/>
      <c r="T68" s="22"/>
      <c r="U68" s="99"/>
      <c r="V68" s="21"/>
      <c r="W68" s="36"/>
      <c r="X68" s="21"/>
    </row>
    <row r="69" spans="2:27" x14ac:dyDescent="0.35">
      <c r="B69" s="29"/>
      <c r="C69" s="27"/>
      <c r="G69" s="21"/>
      <c r="H69" s="22"/>
      <c r="I69" s="23"/>
      <c r="J69" s="21"/>
      <c r="K69" s="21"/>
      <c r="T69" s="21"/>
      <c r="U69" s="21"/>
      <c r="X69" s="164"/>
      <c r="Y69" s="144"/>
      <c r="Z69" s="36"/>
      <c r="AA69" s="21"/>
    </row>
    <row r="70" spans="2:27" x14ac:dyDescent="0.35">
      <c r="B70" s="29"/>
      <c r="C70" s="27"/>
      <c r="G70" s="21"/>
      <c r="H70" s="22"/>
      <c r="I70" s="23"/>
      <c r="J70" s="21"/>
      <c r="K70" s="21"/>
      <c r="T70" s="21"/>
      <c r="U70" s="21"/>
      <c r="X70" s="164"/>
      <c r="Y70" s="144"/>
      <c r="Z70" s="36"/>
      <c r="AA70" s="21"/>
    </row>
    <row r="71" spans="2:27" ht="18" x14ac:dyDescent="0.4">
      <c r="B71" s="44" t="s">
        <v>1016</v>
      </c>
      <c r="T71" s="21"/>
      <c r="U71" s="21"/>
      <c r="X71" s="164"/>
      <c r="Y71" s="139"/>
      <c r="Z71" s="36"/>
      <c r="AA71" s="21"/>
    </row>
    <row r="76" spans="2:27" x14ac:dyDescent="0.35">
      <c r="B76" s="29"/>
      <c r="C76" s="211"/>
      <c r="Q76" s="27"/>
      <c r="R76" s="186"/>
      <c r="S76" s="185"/>
    </row>
    <row r="77" spans="2:27" x14ac:dyDescent="0.35">
      <c r="B77" s="86"/>
      <c r="Q77" s="27"/>
      <c r="R77" s="151"/>
      <c r="S77" s="36"/>
    </row>
    <row r="78" spans="2:27" x14ac:dyDescent="0.35">
      <c r="Q78" s="27"/>
      <c r="R78" s="186"/>
      <c r="S78" s="185"/>
    </row>
    <row r="79" spans="2:27" x14ac:dyDescent="0.35">
      <c r="B79" s="4"/>
      <c r="C79" s="27"/>
      <c r="D79" s="27"/>
      <c r="F79" s="29"/>
      <c r="R79" s="190"/>
      <c r="S79" s="151"/>
    </row>
    <row r="80" spans="2:27" x14ac:dyDescent="0.35">
      <c r="B80" s="4"/>
      <c r="C80" s="27"/>
      <c r="D80" s="27"/>
      <c r="F80" s="29"/>
      <c r="R80" s="190"/>
      <c r="S80" s="151"/>
    </row>
    <row r="81" spans="2:19" x14ac:dyDescent="0.35">
      <c r="R81" s="190"/>
      <c r="S81" s="151"/>
    </row>
    <row r="82" spans="2:19" x14ac:dyDescent="0.35">
      <c r="R82" s="29"/>
      <c r="S82" s="27"/>
    </row>
    <row r="83" spans="2:19" x14ac:dyDescent="0.35">
      <c r="R83" s="29"/>
      <c r="S83" s="27"/>
    </row>
    <row r="84" spans="2:19" x14ac:dyDescent="0.35">
      <c r="R84" s="29"/>
      <c r="S84" s="27"/>
    </row>
    <row r="85" spans="2:19" x14ac:dyDescent="0.35">
      <c r="R85" s="29"/>
      <c r="S85" s="27"/>
    </row>
    <row r="86" spans="2:19" x14ac:dyDescent="0.35">
      <c r="B86" s="29"/>
      <c r="C86" s="27"/>
      <c r="D86" s="27"/>
      <c r="R86" s="29"/>
    </row>
    <row r="87" spans="2:19" x14ac:dyDescent="0.35">
      <c r="B87" s="29"/>
      <c r="C87" s="27"/>
      <c r="D87" s="27"/>
      <c r="R87" s="29"/>
    </row>
    <row r="88" spans="2:19" x14ac:dyDescent="0.35">
      <c r="B88" s="29"/>
      <c r="C88" s="27"/>
      <c r="D88" s="27"/>
      <c r="R88" s="29"/>
    </row>
    <row r="89" spans="2:19" x14ac:dyDescent="0.35">
      <c r="B89" s="29"/>
      <c r="C89" s="27"/>
      <c r="D89" s="27"/>
      <c r="R89" s="29"/>
    </row>
    <row r="90" spans="2:19" x14ac:dyDescent="0.35">
      <c r="B90" s="29"/>
      <c r="C90" s="27"/>
      <c r="D90" s="27"/>
      <c r="R90" s="29"/>
    </row>
    <row r="91" spans="2:19" x14ac:dyDescent="0.35">
      <c r="B91" s="29"/>
      <c r="C91" s="27"/>
      <c r="D91" s="27"/>
      <c r="R91" s="29"/>
    </row>
    <row r="92" spans="2:19" x14ac:dyDescent="0.35">
      <c r="B92" s="29"/>
      <c r="C92" s="27"/>
      <c r="D92" s="27"/>
      <c r="R92" s="29"/>
    </row>
    <row r="93" spans="2:19" ht="18" x14ac:dyDescent="0.4">
      <c r="B93" s="44" t="s">
        <v>534</v>
      </c>
      <c r="C93" s="27"/>
      <c r="G93" s="83"/>
      <c r="H93" s="22"/>
      <c r="I93" s="23"/>
      <c r="J93" s="21"/>
      <c r="R93" s="29"/>
    </row>
    <row r="94" spans="2:19" x14ac:dyDescent="0.35">
      <c r="G94" s="21"/>
      <c r="H94" s="22"/>
      <c r="I94" s="23"/>
      <c r="J94" s="21"/>
      <c r="R94" s="29"/>
    </row>
    <row r="95" spans="2:19" x14ac:dyDescent="0.35">
      <c r="G95" s="21"/>
      <c r="H95" s="22"/>
      <c r="I95" s="23"/>
      <c r="J95" s="21"/>
      <c r="R95" s="29"/>
    </row>
    <row r="96" spans="2:19" x14ac:dyDescent="0.35">
      <c r="G96" s="21"/>
      <c r="H96" s="22"/>
      <c r="I96" s="23"/>
      <c r="J96" s="21"/>
      <c r="R96" s="29"/>
    </row>
    <row r="97" spans="7:19" x14ac:dyDescent="0.35">
      <c r="G97" s="21"/>
      <c r="H97" s="22"/>
      <c r="I97" s="23"/>
      <c r="J97" s="21"/>
      <c r="R97" s="29"/>
      <c r="S97" s="21"/>
    </row>
    <row r="98" spans="7:19" x14ac:dyDescent="0.35">
      <c r="G98" s="21"/>
      <c r="H98" s="22"/>
      <c r="I98" s="23"/>
      <c r="J98" s="21"/>
      <c r="Q98" s="21"/>
      <c r="R98" s="14"/>
      <c r="S98" s="13"/>
    </row>
    <row r="99" spans="7:19" x14ac:dyDescent="0.35">
      <c r="G99" s="21"/>
      <c r="H99" s="22"/>
      <c r="I99" s="23"/>
      <c r="J99" s="21"/>
      <c r="K99" s="21"/>
      <c r="R99" s="14"/>
      <c r="S99" s="140"/>
    </row>
    <row r="100" spans="7:19" x14ac:dyDescent="0.35">
      <c r="G100" s="21"/>
      <c r="H100" s="22"/>
      <c r="I100" s="23"/>
      <c r="J100" s="21"/>
      <c r="K100" s="21"/>
      <c r="R100" s="14"/>
      <c r="S100" s="140"/>
    </row>
    <row r="101" spans="7:19" x14ac:dyDescent="0.35">
      <c r="G101" s="21"/>
      <c r="H101" s="22"/>
      <c r="I101" s="23"/>
      <c r="J101" s="21"/>
      <c r="K101" s="21"/>
    </row>
    <row r="102" spans="7:19" x14ac:dyDescent="0.35">
      <c r="G102" s="21"/>
      <c r="H102" s="22"/>
      <c r="I102" s="23"/>
      <c r="J102" s="21"/>
      <c r="K102" s="21"/>
    </row>
    <row r="103" spans="7:19" x14ac:dyDescent="0.35">
      <c r="G103" s="21"/>
      <c r="H103" s="22"/>
      <c r="I103" s="23"/>
      <c r="J103" s="21"/>
      <c r="K103" s="21"/>
    </row>
    <row r="104" spans="7:19" x14ac:dyDescent="0.35">
      <c r="G104" s="21"/>
      <c r="H104" s="22"/>
      <c r="I104" s="23"/>
      <c r="J104" s="21"/>
      <c r="K104" s="21"/>
      <c r="N104" s="164"/>
      <c r="O104" s="144"/>
      <c r="P104" s="36"/>
      <c r="Q104" s="21"/>
    </row>
    <row r="105" spans="7:19" x14ac:dyDescent="0.35">
      <c r="G105" s="21"/>
      <c r="H105" s="22"/>
      <c r="I105" s="23"/>
      <c r="J105" s="21"/>
      <c r="K105" s="99"/>
      <c r="N105" s="164"/>
      <c r="O105" s="144"/>
      <c r="P105" s="36"/>
      <c r="Q105" s="21"/>
    </row>
    <row r="106" spans="7:19" x14ac:dyDescent="0.35">
      <c r="G106" s="21"/>
      <c r="H106" s="22"/>
      <c r="I106" s="23"/>
      <c r="J106" s="21"/>
      <c r="K106" s="21"/>
      <c r="N106" s="164"/>
      <c r="O106" s="144"/>
      <c r="P106" s="36"/>
      <c r="Q106" s="21"/>
    </row>
    <row r="107" spans="7:19" x14ac:dyDescent="0.35">
      <c r="G107" s="21"/>
      <c r="H107" s="22"/>
      <c r="I107" s="23"/>
      <c r="J107" s="21"/>
      <c r="K107" s="23"/>
      <c r="N107" s="164"/>
      <c r="O107" s="197"/>
      <c r="P107" s="36"/>
      <c r="Q107" s="21"/>
    </row>
    <row r="108" spans="7:19" x14ac:dyDescent="0.35">
      <c r="G108" s="21"/>
      <c r="H108" s="22"/>
      <c r="I108" s="23"/>
      <c r="J108" s="21"/>
      <c r="K108" s="21"/>
      <c r="N108" s="164"/>
      <c r="O108" s="144"/>
      <c r="P108" s="36"/>
      <c r="Q108" s="21"/>
    </row>
    <row r="109" spans="7:19" x14ac:dyDescent="0.35">
      <c r="G109" s="21"/>
      <c r="H109" s="22"/>
      <c r="I109" s="23"/>
      <c r="J109" s="21"/>
      <c r="K109" s="21"/>
      <c r="L109" s="23"/>
      <c r="O109" s="21"/>
      <c r="P109" s="22"/>
      <c r="Q109" s="23"/>
      <c r="R109" s="21"/>
      <c r="S109" s="21"/>
    </row>
    <row r="110" spans="7:19" x14ac:dyDescent="0.35">
      <c r="G110" s="21"/>
      <c r="H110" s="22"/>
      <c r="I110" s="23"/>
      <c r="J110" s="21"/>
      <c r="K110" s="21"/>
      <c r="L110" s="23"/>
      <c r="O110" s="21"/>
      <c r="P110" s="22"/>
      <c r="Q110" s="23"/>
      <c r="R110" s="21"/>
      <c r="S110" s="21"/>
    </row>
    <row r="111" spans="7:19" x14ac:dyDescent="0.35">
      <c r="G111" s="21"/>
      <c r="H111" s="22"/>
      <c r="I111" s="23"/>
      <c r="J111" s="21"/>
      <c r="K111" s="47"/>
      <c r="L111" s="23"/>
      <c r="M111" s="29"/>
      <c r="N111" s="23"/>
      <c r="O111" s="21"/>
      <c r="P111" s="22"/>
      <c r="Q111" s="33"/>
      <c r="R111" s="21"/>
      <c r="S111" s="21"/>
    </row>
    <row r="112" spans="7:19" x14ac:dyDescent="0.35">
      <c r="G112" s="21"/>
      <c r="H112" s="22"/>
      <c r="I112" s="23"/>
      <c r="J112" s="21"/>
      <c r="K112" s="21"/>
      <c r="O112" s="21"/>
      <c r="P112" s="22"/>
      <c r="Q112" s="23"/>
      <c r="R112" s="21"/>
      <c r="S112" s="21"/>
    </row>
    <row r="113" spans="2:19" x14ac:dyDescent="0.35">
      <c r="G113" s="21"/>
      <c r="H113" s="22"/>
      <c r="I113" s="23"/>
      <c r="J113" s="21"/>
      <c r="K113" s="21"/>
      <c r="O113" s="21"/>
      <c r="P113" s="22"/>
      <c r="Q113" s="23"/>
      <c r="R113" s="21"/>
      <c r="S113" s="21"/>
    </row>
    <row r="114" spans="2:19" x14ac:dyDescent="0.35">
      <c r="G114" s="21"/>
      <c r="H114" s="22"/>
      <c r="I114" s="23"/>
      <c r="J114" s="21"/>
      <c r="K114" s="21"/>
      <c r="O114" s="21"/>
      <c r="P114" s="29"/>
      <c r="Q114" s="23"/>
      <c r="R114" s="21"/>
      <c r="S114" s="21"/>
    </row>
    <row r="115" spans="2:19" x14ac:dyDescent="0.35">
      <c r="G115" s="21"/>
      <c r="H115" s="22"/>
      <c r="I115" s="23"/>
      <c r="J115" s="21"/>
      <c r="K115" s="21"/>
      <c r="O115" s="21"/>
      <c r="P115" s="13"/>
      <c r="Q115" s="33"/>
      <c r="R115" s="21"/>
      <c r="S115" s="21"/>
    </row>
    <row r="116" spans="2:19" x14ac:dyDescent="0.35">
      <c r="G116" s="21"/>
      <c r="H116" s="22"/>
      <c r="I116" s="23"/>
      <c r="J116" s="21"/>
      <c r="K116" s="21"/>
      <c r="O116" s="21"/>
      <c r="P116" s="144"/>
      <c r="Q116" s="23"/>
      <c r="R116" s="21"/>
      <c r="S116" s="21"/>
    </row>
    <row r="117" spans="2:19" x14ac:dyDescent="0.35">
      <c r="G117" s="21"/>
      <c r="H117" s="22"/>
      <c r="I117" s="23"/>
      <c r="J117" s="21"/>
      <c r="K117" s="21"/>
      <c r="R117" s="21"/>
      <c r="S117" s="21"/>
    </row>
    <row r="118" spans="2:19" x14ac:dyDescent="0.35">
      <c r="G118" s="21"/>
      <c r="H118" s="22"/>
      <c r="I118" s="23"/>
      <c r="J118" s="21"/>
      <c r="K118" s="21"/>
      <c r="R118" s="21"/>
      <c r="S118" s="21"/>
    </row>
    <row r="119" spans="2:19" x14ac:dyDescent="0.35">
      <c r="G119" s="21"/>
      <c r="H119" s="22"/>
      <c r="I119" s="23"/>
      <c r="J119" s="36"/>
      <c r="K119" s="21"/>
      <c r="R119" s="21"/>
      <c r="S119" s="21"/>
    </row>
    <row r="120" spans="2:19" x14ac:dyDescent="0.35">
      <c r="B120" s="29"/>
      <c r="C120" s="27"/>
      <c r="G120" s="21"/>
      <c r="H120" s="22"/>
      <c r="I120" s="23"/>
      <c r="J120" s="36"/>
      <c r="K120" s="21"/>
      <c r="O120" s="21"/>
      <c r="P120" s="22"/>
      <c r="Q120" s="33"/>
      <c r="R120" s="21"/>
      <c r="S120" s="21"/>
    </row>
    <row r="121" spans="2:19" x14ac:dyDescent="0.35">
      <c r="B121" s="29"/>
      <c r="C121" s="27"/>
      <c r="G121" s="21"/>
      <c r="H121" s="22"/>
      <c r="I121" s="23"/>
      <c r="J121" s="36"/>
      <c r="K121" s="21"/>
      <c r="O121" s="21"/>
      <c r="P121" s="22"/>
      <c r="Q121" s="23"/>
      <c r="R121" s="21"/>
      <c r="S121" s="21"/>
    </row>
    <row r="122" spans="2:19" x14ac:dyDescent="0.35">
      <c r="B122" s="29"/>
      <c r="C122" s="27"/>
      <c r="G122" s="21"/>
      <c r="H122" s="22"/>
      <c r="I122" s="23"/>
      <c r="J122" s="36"/>
      <c r="K122" s="21"/>
      <c r="O122" s="21"/>
      <c r="P122" s="22"/>
      <c r="Q122" s="23"/>
      <c r="R122" s="21"/>
      <c r="S122" s="21"/>
    </row>
    <row r="123" spans="2:19" x14ac:dyDescent="0.35">
      <c r="B123" s="29"/>
      <c r="C123" s="27"/>
      <c r="G123" s="21"/>
      <c r="H123" s="22"/>
      <c r="I123" s="23"/>
      <c r="J123" s="21"/>
      <c r="K123" s="21"/>
      <c r="O123" s="21"/>
      <c r="P123" s="22"/>
      <c r="Q123" s="23"/>
      <c r="R123" s="21"/>
      <c r="S123" s="21"/>
    </row>
    <row r="124" spans="2:19" x14ac:dyDescent="0.35">
      <c r="B124" s="29"/>
      <c r="C124" s="27"/>
      <c r="G124" s="21"/>
      <c r="H124" s="22"/>
      <c r="I124" s="23"/>
      <c r="J124" s="21"/>
      <c r="K124" s="21"/>
      <c r="O124" s="21"/>
      <c r="P124" s="22"/>
      <c r="Q124" s="23"/>
      <c r="R124" s="21"/>
      <c r="S124" s="21"/>
    </row>
    <row r="125" spans="2:19" x14ac:dyDescent="0.35">
      <c r="B125" s="29"/>
      <c r="C125" s="27"/>
      <c r="G125" s="21"/>
      <c r="H125" s="22"/>
      <c r="I125" s="23"/>
      <c r="J125" s="21"/>
      <c r="K125" s="21"/>
      <c r="O125" s="21"/>
      <c r="P125" s="22"/>
      <c r="Q125" s="23"/>
      <c r="R125" s="21"/>
      <c r="S125" s="21"/>
    </row>
    <row r="126" spans="2:19" x14ac:dyDescent="0.35">
      <c r="B126" s="29"/>
      <c r="C126" s="27"/>
      <c r="G126" s="21"/>
      <c r="H126" s="22"/>
      <c r="I126" s="23"/>
      <c r="J126" s="21"/>
      <c r="K126" s="21"/>
      <c r="O126" s="21"/>
      <c r="P126" s="22"/>
      <c r="Q126" s="23"/>
      <c r="R126" s="21"/>
      <c r="S126" s="21"/>
    </row>
    <row r="127" spans="2:19" x14ac:dyDescent="0.35">
      <c r="B127" s="29"/>
      <c r="C127" s="27"/>
      <c r="G127" s="21"/>
      <c r="H127" s="22"/>
      <c r="I127" s="23"/>
      <c r="J127" s="21"/>
      <c r="K127" s="21"/>
      <c r="O127" s="21"/>
      <c r="P127" s="22"/>
      <c r="Q127" s="23"/>
      <c r="R127" s="21"/>
      <c r="S127" s="21"/>
    </row>
    <row r="128" spans="2:19" x14ac:dyDescent="0.35">
      <c r="B128" s="29"/>
      <c r="C128" s="27"/>
      <c r="G128" s="21"/>
      <c r="H128" s="22"/>
      <c r="I128" s="23"/>
      <c r="J128" s="21"/>
      <c r="K128" s="21"/>
      <c r="O128" s="21"/>
      <c r="P128" s="22"/>
      <c r="Q128" s="23"/>
      <c r="R128" s="21"/>
      <c r="S128" s="21"/>
    </row>
    <row r="129" spans="2:19" x14ac:dyDescent="0.35">
      <c r="B129" s="29"/>
      <c r="C129" s="27"/>
      <c r="G129" s="21"/>
      <c r="H129" s="22"/>
      <c r="I129" s="23"/>
      <c r="J129" s="21"/>
      <c r="K129" s="21"/>
      <c r="O129" s="21"/>
      <c r="P129" s="22"/>
      <c r="Q129" s="23"/>
      <c r="R129" s="21"/>
      <c r="S129" s="21"/>
    </row>
    <row r="130" spans="2:19" x14ac:dyDescent="0.35">
      <c r="B130" s="29"/>
      <c r="C130" s="27"/>
      <c r="G130" s="21"/>
      <c r="H130" s="22"/>
      <c r="I130" s="23"/>
      <c r="J130" s="21"/>
      <c r="K130" s="21"/>
      <c r="O130" s="21"/>
      <c r="P130" s="22"/>
      <c r="Q130" s="23"/>
    </row>
    <row r="131" spans="2:19" x14ac:dyDescent="0.35">
      <c r="B131" s="29"/>
      <c r="C131" s="27"/>
      <c r="G131" s="21"/>
      <c r="H131" s="22"/>
      <c r="I131" s="23"/>
      <c r="J131" s="21"/>
      <c r="K131" s="21"/>
      <c r="O131" s="21"/>
      <c r="P131" s="144"/>
      <c r="Q131" s="23"/>
    </row>
    <row r="132" spans="2:19" x14ac:dyDescent="0.35">
      <c r="B132" s="29"/>
      <c r="C132" s="27"/>
      <c r="G132" s="21"/>
      <c r="H132" s="22"/>
      <c r="I132" s="23"/>
      <c r="J132" s="21"/>
      <c r="K132" s="21"/>
      <c r="O132" s="21"/>
      <c r="P132" s="144"/>
      <c r="Q132" s="23"/>
    </row>
    <row r="133" spans="2:19" x14ac:dyDescent="0.35">
      <c r="B133" s="29"/>
      <c r="C133" s="27"/>
      <c r="G133" s="21"/>
      <c r="H133" s="22"/>
      <c r="I133" s="23"/>
      <c r="J133" s="21"/>
      <c r="K133" s="21"/>
      <c r="O133" s="21"/>
      <c r="P133" s="29"/>
      <c r="Q133" s="27"/>
    </row>
    <row r="134" spans="2:19" x14ac:dyDescent="0.35">
      <c r="B134" s="29"/>
      <c r="C134" s="27"/>
      <c r="G134" s="21"/>
      <c r="H134" s="22"/>
      <c r="I134" s="23"/>
      <c r="J134" s="21"/>
      <c r="K134" s="21"/>
      <c r="O134" s="21"/>
      <c r="P134" s="29"/>
      <c r="Q134" s="27"/>
    </row>
    <row r="135" spans="2:19" x14ac:dyDescent="0.35">
      <c r="B135" s="29"/>
      <c r="C135" s="27"/>
      <c r="G135" s="21"/>
      <c r="H135" s="22"/>
      <c r="I135" s="23"/>
      <c r="J135" s="21"/>
      <c r="K135" s="21"/>
    </row>
    <row r="136" spans="2:19" x14ac:dyDescent="0.35">
      <c r="B136" s="29"/>
      <c r="C136" s="27"/>
      <c r="G136" s="21"/>
      <c r="H136" s="22"/>
      <c r="I136" s="23"/>
      <c r="J136" s="21"/>
      <c r="K136" s="21"/>
    </row>
    <row r="137" spans="2:19" ht="17.5" x14ac:dyDescent="0.35">
      <c r="B137" s="29"/>
      <c r="C137" s="27"/>
      <c r="G137" s="21"/>
      <c r="H137" s="227"/>
      <c r="I137" s="228"/>
      <c r="J137" s="183"/>
      <c r="K137" s="183"/>
    </row>
    <row r="138" spans="2:19" x14ac:dyDescent="0.35">
      <c r="B138" s="29"/>
      <c r="C138" s="27"/>
      <c r="G138" s="21"/>
      <c r="H138" s="22"/>
      <c r="I138" s="23"/>
      <c r="J138" s="21"/>
      <c r="K138" s="21"/>
    </row>
    <row r="139" spans="2:19" x14ac:dyDescent="0.35">
      <c r="B139" s="29"/>
      <c r="C139" s="27"/>
      <c r="G139" s="21"/>
      <c r="H139" s="22"/>
      <c r="I139" s="23"/>
      <c r="J139" s="21"/>
      <c r="K139" s="21"/>
    </row>
    <row r="140" spans="2:19" x14ac:dyDescent="0.35">
      <c r="B140" s="29"/>
      <c r="C140" s="27"/>
      <c r="G140" s="21"/>
      <c r="H140" s="22"/>
      <c r="I140" s="23"/>
      <c r="J140" s="21"/>
      <c r="K140" s="21"/>
    </row>
    <row r="141" spans="2:19" x14ac:dyDescent="0.35">
      <c r="B141" s="29"/>
      <c r="C141" s="27"/>
      <c r="G141" s="21"/>
      <c r="H141" s="22"/>
      <c r="I141" s="23"/>
      <c r="J141" s="21"/>
      <c r="K141" s="21"/>
    </row>
    <row r="142" spans="2:19" x14ac:dyDescent="0.35">
      <c r="B142" s="29"/>
      <c r="C142" s="27"/>
      <c r="G142" s="21"/>
      <c r="H142" s="23"/>
      <c r="I142" s="23"/>
      <c r="J142" s="21"/>
      <c r="K142" s="21"/>
    </row>
    <row r="143" spans="2:19" ht="16" thickBot="1" x14ac:dyDescent="0.4">
      <c r="B143" s="29"/>
      <c r="C143" s="88" t="s">
        <v>2</v>
      </c>
      <c r="F143" s="112" t="s">
        <v>1025</v>
      </c>
      <c r="G143" s="21"/>
      <c r="H143" s="23"/>
      <c r="I143" s="13"/>
      <c r="J143" s="21"/>
      <c r="K143" s="21"/>
    </row>
    <row r="144" spans="2:19" x14ac:dyDescent="0.35">
      <c r="B144" s="29" t="s">
        <v>530</v>
      </c>
      <c r="C144" s="162">
        <v>1</v>
      </c>
      <c r="D144" s="20" t="s">
        <v>415</v>
      </c>
      <c r="F144" s="221">
        <f>10*C144</f>
        <v>10</v>
      </c>
      <c r="G144" s="20" t="s">
        <v>963</v>
      </c>
      <c r="H144" s="14"/>
      <c r="I144" s="13"/>
      <c r="J144" s="21"/>
      <c r="K144" s="21"/>
    </row>
    <row r="145" spans="2:11" x14ac:dyDescent="0.35">
      <c r="B145" s="29" t="s">
        <v>656</v>
      </c>
      <c r="C145" s="90">
        <v>0.1</v>
      </c>
      <c r="D145" s="20" t="s">
        <v>415</v>
      </c>
      <c r="F145" s="220">
        <f t="shared" ref="F145:F146" si="0">10*C145</f>
        <v>1</v>
      </c>
      <c r="G145" s="20" t="s">
        <v>963</v>
      </c>
      <c r="H145" s="14"/>
      <c r="I145" s="13"/>
      <c r="J145" s="21"/>
      <c r="K145" s="21"/>
    </row>
    <row r="146" spans="2:11" ht="16" thickBot="1" x14ac:dyDescent="0.4">
      <c r="B146" s="29" t="s">
        <v>531</v>
      </c>
      <c r="C146" s="135">
        <v>0.01</v>
      </c>
      <c r="D146" s="20" t="s">
        <v>415</v>
      </c>
      <c r="F146" s="222">
        <f t="shared" si="0"/>
        <v>0.1</v>
      </c>
      <c r="G146" s="20" t="s">
        <v>963</v>
      </c>
      <c r="H146" s="22"/>
      <c r="I146" s="23"/>
      <c r="J146" s="21"/>
      <c r="K146" s="21"/>
    </row>
    <row r="147" spans="2:11" x14ac:dyDescent="0.35">
      <c r="B147" s="29" t="s">
        <v>786</v>
      </c>
      <c r="C147" s="135">
        <v>300</v>
      </c>
      <c r="D147" s="20" t="s">
        <v>8</v>
      </c>
      <c r="F147" s="144"/>
      <c r="G147" s="21"/>
      <c r="H147" s="145"/>
      <c r="I147" s="23"/>
      <c r="J147" s="21"/>
      <c r="K147" s="21"/>
    </row>
    <row r="148" spans="2:11" x14ac:dyDescent="0.35">
      <c r="B148" s="29" t="s">
        <v>529</v>
      </c>
      <c r="C148" s="90">
        <v>0.1</v>
      </c>
      <c r="D148" s="20" t="s">
        <v>415</v>
      </c>
      <c r="F148" s="145"/>
      <c r="G148" s="21"/>
      <c r="H148" s="145"/>
      <c r="I148" s="23"/>
      <c r="J148" s="21"/>
      <c r="K148" s="21"/>
    </row>
    <row r="149" spans="2:11" x14ac:dyDescent="0.35">
      <c r="B149" s="29" t="s">
        <v>474</v>
      </c>
      <c r="C149" s="135">
        <v>10</v>
      </c>
      <c r="D149" s="20" t="s">
        <v>406</v>
      </c>
      <c r="F149" s="144"/>
      <c r="G149" s="21"/>
      <c r="H149" s="144"/>
      <c r="I149" s="23"/>
      <c r="J149" s="21"/>
      <c r="K149" s="21"/>
    </row>
    <row r="150" spans="2:11" x14ac:dyDescent="0.35">
      <c r="B150" s="29" t="s">
        <v>475</v>
      </c>
      <c r="C150" s="135">
        <v>7.1250999999999998</v>
      </c>
      <c r="D150" s="20" t="s">
        <v>466</v>
      </c>
      <c r="F150" s="144"/>
      <c r="G150" s="21"/>
      <c r="H150" s="144"/>
      <c r="I150" s="23"/>
      <c r="J150" s="21"/>
      <c r="K150" s="21"/>
    </row>
    <row r="151" spans="2:11" ht="16" thickBot="1" x14ac:dyDescent="0.4">
      <c r="B151" s="29" t="s">
        <v>657</v>
      </c>
      <c r="C151" s="91">
        <v>3052.1</v>
      </c>
      <c r="D151" s="20" t="s">
        <v>76</v>
      </c>
      <c r="F151" s="144"/>
      <c r="G151" s="21"/>
      <c r="H151" s="144"/>
      <c r="I151" s="23"/>
      <c r="J151" s="21"/>
      <c r="K151" s="21"/>
    </row>
    <row r="152" spans="2:11" x14ac:dyDescent="0.35">
      <c r="C152" s="27"/>
      <c r="G152" s="21"/>
      <c r="H152" s="22"/>
      <c r="I152" s="23"/>
      <c r="J152" s="21"/>
      <c r="K152" s="21"/>
    </row>
    <row r="153" spans="2:11" ht="18" x14ac:dyDescent="0.4">
      <c r="B153" s="44" t="s">
        <v>467</v>
      </c>
      <c r="C153" s="27"/>
      <c r="G153" s="21"/>
      <c r="H153" s="22"/>
      <c r="I153" s="23"/>
      <c r="J153" s="21"/>
      <c r="K153" s="21"/>
    </row>
    <row r="154" spans="2:11" x14ac:dyDescent="0.35">
      <c r="B154" s="4" t="s">
        <v>844</v>
      </c>
      <c r="C154" s="27"/>
      <c r="G154" s="21"/>
      <c r="H154" s="20"/>
      <c r="I154" s="87"/>
    </row>
    <row r="155" spans="2:11" x14ac:dyDescent="0.35">
      <c r="H155" s="22"/>
      <c r="I155" s="23"/>
      <c r="J155" s="21"/>
      <c r="K155" s="21"/>
    </row>
    <row r="156" spans="2:11" ht="18" x14ac:dyDescent="0.4">
      <c r="B156" s="44" t="s">
        <v>468</v>
      </c>
      <c r="H156" s="22"/>
      <c r="I156" s="23"/>
      <c r="J156" s="21"/>
      <c r="K156" s="21"/>
    </row>
    <row r="157" spans="2:11" ht="20" x14ac:dyDescent="0.4">
      <c r="C157" s="27"/>
      <c r="G157" s="21"/>
      <c r="H157" s="213"/>
      <c r="I157" s="214"/>
      <c r="J157" s="213"/>
      <c r="K157" s="212"/>
    </row>
    <row r="158" spans="2:11" ht="18" x14ac:dyDescent="0.4">
      <c r="B158" s="44" t="s">
        <v>535</v>
      </c>
      <c r="C158" s="27"/>
      <c r="G158" s="21"/>
      <c r="H158" s="22"/>
      <c r="I158" s="23"/>
      <c r="J158" s="21"/>
      <c r="K158" s="21"/>
    </row>
    <row r="159" spans="2:11" ht="16" thickBot="1" x14ac:dyDescent="0.4">
      <c r="C159" s="88" t="s">
        <v>2</v>
      </c>
      <c r="G159" s="21"/>
      <c r="H159" s="22"/>
      <c r="I159" s="23"/>
      <c r="J159" s="21"/>
      <c r="K159" s="21"/>
    </row>
    <row r="160" spans="2:11" x14ac:dyDescent="0.35">
      <c r="B160" s="29" t="s">
        <v>532</v>
      </c>
      <c r="C160" s="201">
        <v>1.3027</v>
      </c>
      <c r="D160" s="27" t="s">
        <v>407</v>
      </c>
      <c r="G160" s="21"/>
      <c r="H160" s="139"/>
      <c r="I160" s="23"/>
      <c r="J160" s="21"/>
      <c r="K160" s="21"/>
    </row>
    <row r="161" spans="2:11" x14ac:dyDescent="0.35">
      <c r="B161" s="29" t="s">
        <v>533</v>
      </c>
      <c r="C161" s="198">
        <v>7.3589000000000002</v>
      </c>
      <c r="D161" s="27" t="s">
        <v>407</v>
      </c>
      <c r="G161" s="21"/>
      <c r="H161" s="139"/>
      <c r="I161" s="23"/>
      <c r="J161" s="21"/>
      <c r="K161" s="21"/>
    </row>
    <row r="162" spans="2:11" x14ac:dyDescent="0.35">
      <c r="B162" s="29" t="s">
        <v>544</v>
      </c>
      <c r="C162" s="90">
        <v>417.51</v>
      </c>
      <c r="D162" s="27" t="s">
        <v>73</v>
      </c>
      <c r="G162" s="21"/>
      <c r="H162" s="145"/>
      <c r="I162" s="23"/>
      <c r="J162" s="21"/>
      <c r="K162" s="21"/>
    </row>
    <row r="163" spans="2:11" ht="16" thickBot="1" x14ac:dyDescent="0.4">
      <c r="B163" s="29" t="s">
        <v>543</v>
      </c>
      <c r="C163" s="202">
        <v>2675</v>
      </c>
      <c r="D163" s="27" t="s">
        <v>73</v>
      </c>
      <c r="G163" s="21"/>
      <c r="H163" s="203"/>
      <c r="I163" s="23"/>
      <c r="J163" s="21"/>
      <c r="K163" s="21"/>
    </row>
    <row r="164" spans="2:11" x14ac:dyDescent="0.35">
      <c r="B164" s="29"/>
      <c r="C164" s="88" t="s">
        <v>3</v>
      </c>
      <c r="G164" s="21"/>
      <c r="H164" s="22"/>
      <c r="I164" s="23"/>
      <c r="J164" s="21"/>
      <c r="K164" s="21"/>
    </row>
    <row r="165" spans="2:11" x14ac:dyDescent="0.35">
      <c r="B165" s="29" t="s">
        <v>478</v>
      </c>
      <c r="C165" s="27">
        <f>C150</f>
        <v>7.1250999999999998</v>
      </c>
      <c r="D165" s="27" t="s">
        <v>407</v>
      </c>
      <c r="G165" s="21"/>
      <c r="H165" s="22"/>
      <c r="I165" s="23"/>
      <c r="J165" s="21"/>
      <c r="K165" s="21"/>
    </row>
    <row r="166" spans="2:11" x14ac:dyDescent="0.35">
      <c r="B166" s="190" t="s">
        <v>464</v>
      </c>
      <c r="C166" s="204">
        <f>C161-C160</f>
        <v>6.0562000000000005</v>
      </c>
      <c r="D166" s="27" t="s">
        <v>407</v>
      </c>
      <c r="G166" s="21"/>
      <c r="H166" s="22"/>
      <c r="I166" s="23"/>
      <c r="J166" s="21"/>
      <c r="K166" s="21"/>
    </row>
    <row r="167" spans="2:11" x14ac:dyDescent="0.35">
      <c r="B167" s="86" t="s">
        <v>658</v>
      </c>
      <c r="C167" s="4" t="s">
        <v>460</v>
      </c>
      <c r="G167" s="21"/>
      <c r="H167" s="22"/>
      <c r="I167" s="23"/>
      <c r="J167" s="21"/>
      <c r="K167" s="21"/>
    </row>
    <row r="168" spans="2:11" x14ac:dyDescent="0.35">
      <c r="B168" s="86" t="s">
        <v>4</v>
      </c>
      <c r="C168" s="94">
        <f>(C165-C160)/C166</f>
        <v>0.96139493411710308</v>
      </c>
      <c r="G168" s="21"/>
      <c r="H168" s="22"/>
      <c r="I168" s="23"/>
      <c r="J168" s="21"/>
      <c r="K168" s="21"/>
    </row>
    <row r="169" spans="2:11" x14ac:dyDescent="0.35">
      <c r="B169" s="29" t="s">
        <v>470</v>
      </c>
      <c r="C169" s="27" t="s">
        <v>471</v>
      </c>
      <c r="G169" s="21"/>
      <c r="H169" s="22"/>
      <c r="I169" s="23"/>
      <c r="J169" s="21"/>
      <c r="K169" s="21"/>
    </row>
    <row r="170" spans="2:11" x14ac:dyDescent="0.35">
      <c r="B170" s="29" t="s">
        <v>4</v>
      </c>
      <c r="C170" s="97">
        <f>C163-C162</f>
        <v>2257.4899999999998</v>
      </c>
      <c r="D170" s="27" t="s">
        <v>73</v>
      </c>
      <c r="G170" s="21"/>
      <c r="H170" s="22"/>
      <c r="I170" s="23"/>
      <c r="J170" s="21"/>
      <c r="K170" s="21"/>
    </row>
    <row r="171" spans="2:11" x14ac:dyDescent="0.35">
      <c r="B171" s="86" t="s">
        <v>659</v>
      </c>
      <c r="C171" s="4" t="s">
        <v>469</v>
      </c>
      <c r="D171" s="2"/>
      <c r="G171" s="21"/>
      <c r="H171" s="22"/>
      <c r="I171" s="23"/>
      <c r="J171" s="47"/>
      <c r="K171" s="21"/>
    </row>
    <row r="172" spans="2:11" x14ac:dyDescent="0.35">
      <c r="B172" s="86" t="s">
        <v>4</v>
      </c>
      <c r="C172" s="93">
        <f>C162+(C168*C170)</f>
        <v>2587.8494498200189</v>
      </c>
      <c r="D172" s="4" t="s">
        <v>73</v>
      </c>
      <c r="G172" s="21"/>
      <c r="H172" s="22"/>
      <c r="I172" s="23"/>
      <c r="J172" s="47"/>
      <c r="K172" s="21"/>
    </row>
    <row r="173" spans="2:11" x14ac:dyDescent="0.35">
      <c r="B173" s="29"/>
      <c r="C173" s="27"/>
      <c r="G173" s="21"/>
      <c r="H173" s="22"/>
      <c r="I173" s="23"/>
      <c r="J173" s="47"/>
      <c r="K173" s="21"/>
    </row>
    <row r="174" spans="2:11" ht="18" x14ac:dyDescent="0.4">
      <c r="B174" s="44" t="s">
        <v>468</v>
      </c>
      <c r="C174" s="27"/>
      <c r="G174" s="21"/>
      <c r="H174" s="22"/>
      <c r="I174" s="23"/>
      <c r="J174" s="47"/>
      <c r="K174" s="21"/>
    </row>
    <row r="175" spans="2:11" x14ac:dyDescent="0.35">
      <c r="B175" s="4" t="s">
        <v>536</v>
      </c>
      <c r="C175" s="27"/>
      <c r="G175" s="21"/>
      <c r="H175" s="22"/>
      <c r="I175" s="23"/>
      <c r="J175" s="47"/>
      <c r="K175" s="21"/>
    </row>
    <row r="176" spans="2:11" x14ac:dyDescent="0.35">
      <c r="B176" s="29"/>
      <c r="C176" s="27"/>
      <c r="G176" s="21"/>
      <c r="H176" s="22"/>
      <c r="I176" s="23"/>
      <c r="J176" s="47"/>
      <c r="K176" s="21"/>
    </row>
    <row r="177" spans="2:11" x14ac:dyDescent="0.35">
      <c r="B177" s="29"/>
      <c r="C177" s="27"/>
      <c r="G177" s="21"/>
      <c r="H177" s="22"/>
      <c r="I177" s="23"/>
      <c r="J177" s="21"/>
      <c r="K177" s="21"/>
    </row>
    <row r="178" spans="2:11" x14ac:dyDescent="0.35">
      <c r="B178" s="29"/>
      <c r="C178" s="27"/>
      <c r="G178" s="21"/>
      <c r="H178" s="22"/>
      <c r="I178" s="23"/>
      <c r="J178" s="21"/>
      <c r="K178" s="21"/>
    </row>
    <row r="179" spans="2:11" x14ac:dyDescent="0.35">
      <c r="B179" s="29"/>
      <c r="C179" s="27"/>
      <c r="G179" s="21"/>
      <c r="H179" s="22"/>
      <c r="I179" s="23"/>
      <c r="J179" s="47"/>
      <c r="K179" s="21"/>
    </row>
    <row r="180" spans="2:11" x14ac:dyDescent="0.35">
      <c r="B180" s="29"/>
      <c r="C180" s="27"/>
      <c r="G180" s="21"/>
      <c r="H180" s="22"/>
      <c r="I180" s="23"/>
      <c r="J180" s="47"/>
      <c r="K180" s="21"/>
    </row>
    <row r="181" spans="2:11" x14ac:dyDescent="0.35">
      <c r="B181" s="29"/>
      <c r="C181" s="27"/>
      <c r="G181" s="21"/>
      <c r="H181" s="22"/>
      <c r="I181" s="23"/>
      <c r="J181" s="47"/>
      <c r="K181" s="21"/>
    </row>
    <row r="182" spans="2:11" x14ac:dyDescent="0.35">
      <c r="B182" s="29"/>
      <c r="C182" s="27"/>
      <c r="G182" s="21"/>
      <c r="H182" s="22"/>
      <c r="I182" s="23"/>
      <c r="J182" s="21"/>
      <c r="K182" s="21"/>
    </row>
    <row r="183" spans="2:11" x14ac:dyDescent="0.35">
      <c r="B183" s="29"/>
      <c r="C183" s="27"/>
      <c r="G183" s="21"/>
      <c r="H183" s="22"/>
      <c r="I183" s="23"/>
      <c r="J183" s="21"/>
      <c r="K183" s="21"/>
    </row>
    <row r="184" spans="2:11" x14ac:dyDescent="0.35">
      <c r="B184" s="29"/>
      <c r="C184" s="27"/>
      <c r="G184" s="21"/>
      <c r="H184" s="22"/>
      <c r="I184" s="23"/>
      <c r="J184" s="21"/>
      <c r="K184" s="21"/>
    </row>
    <row r="185" spans="2:11" x14ac:dyDescent="0.35">
      <c r="B185" s="29"/>
      <c r="C185" s="27"/>
      <c r="G185" s="21"/>
      <c r="H185" s="22"/>
      <c r="I185" s="23"/>
      <c r="J185" s="21"/>
      <c r="K185" s="21"/>
    </row>
    <row r="186" spans="2:11" x14ac:dyDescent="0.35">
      <c r="B186" s="29"/>
      <c r="C186" s="27"/>
      <c r="G186" s="21"/>
      <c r="H186" s="22"/>
      <c r="I186" s="23"/>
      <c r="J186" s="21"/>
      <c r="K186" s="21"/>
    </row>
    <row r="187" spans="2:11" x14ac:dyDescent="0.35">
      <c r="B187" s="29"/>
      <c r="C187" s="27"/>
      <c r="G187" s="21"/>
      <c r="H187" s="22"/>
      <c r="I187" s="23"/>
      <c r="J187" s="21"/>
      <c r="K187" s="21"/>
    </row>
    <row r="188" spans="2:11" x14ac:dyDescent="0.35">
      <c r="B188" s="29"/>
      <c r="C188" s="27"/>
      <c r="G188" s="21"/>
      <c r="H188" s="22"/>
      <c r="I188" s="23"/>
      <c r="J188" s="21"/>
      <c r="K188" s="21"/>
    </row>
    <row r="189" spans="2:11" x14ac:dyDescent="0.35">
      <c r="B189" s="29"/>
      <c r="C189" s="27"/>
      <c r="G189" s="21"/>
      <c r="H189" s="22"/>
      <c r="I189" s="23"/>
      <c r="J189" s="21"/>
      <c r="K189" s="21"/>
    </row>
    <row r="190" spans="2:11" x14ac:dyDescent="0.35">
      <c r="B190" s="29"/>
      <c r="C190" s="27"/>
      <c r="G190" s="21"/>
      <c r="H190" s="22"/>
      <c r="I190" s="23"/>
      <c r="J190" s="21"/>
      <c r="K190" s="21"/>
    </row>
    <row r="191" spans="2:11" x14ac:dyDescent="0.35">
      <c r="B191" s="29"/>
      <c r="C191" s="27"/>
      <c r="G191" s="21"/>
      <c r="H191" s="22"/>
      <c r="I191" s="23"/>
      <c r="J191" s="21"/>
      <c r="K191" s="21"/>
    </row>
    <row r="192" spans="2:11" x14ac:dyDescent="0.35">
      <c r="B192" s="29"/>
      <c r="C192" s="27"/>
      <c r="G192" s="21"/>
      <c r="H192" s="22"/>
      <c r="I192" s="23"/>
      <c r="J192" s="21"/>
      <c r="K192" s="21"/>
    </row>
    <row r="193" spans="2:11" x14ac:dyDescent="0.35">
      <c r="B193" s="29"/>
      <c r="C193" s="27"/>
      <c r="G193" s="21"/>
      <c r="H193" s="22"/>
      <c r="I193" s="23"/>
      <c r="J193" s="21"/>
      <c r="K193" s="21"/>
    </row>
    <row r="194" spans="2:11" x14ac:dyDescent="0.35">
      <c r="B194" s="29"/>
      <c r="C194" s="27"/>
      <c r="G194" s="21"/>
      <c r="H194" s="22"/>
      <c r="I194" s="23"/>
      <c r="J194" s="21"/>
      <c r="K194" s="21"/>
    </row>
    <row r="195" spans="2:11" x14ac:dyDescent="0.35">
      <c r="B195" s="29"/>
      <c r="C195" s="27"/>
      <c r="G195" s="21"/>
      <c r="H195" s="22"/>
      <c r="I195" s="23"/>
      <c r="J195" s="21"/>
      <c r="K195" s="21"/>
    </row>
    <row r="196" spans="2:11" x14ac:dyDescent="0.35">
      <c r="B196" s="29"/>
      <c r="C196" s="27"/>
      <c r="G196" s="21"/>
      <c r="H196" s="22"/>
      <c r="I196" s="23"/>
      <c r="J196" s="21"/>
      <c r="K196" s="21"/>
    </row>
    <row r="197" spans="2:11" x14ac:dyDescent="0.35">
      <c r="B197" s="29"/>
      <c r="C197" s="27"/>
      <c r="G197" s="21"/>
      <c r="H197" s="22"/>
      <c r="I197" s="23"/>
      <c r="J197" s="21"/>
      <c r="K197" s="21"/>
    </row>
    <row r="198" spans="2:11" x14ac:dyDescent="0.35">
      <c r="B198" s="29"/>
      <c r="C198" s="27"/>
      <c r="G198" s="21"/>
      <c r="H198" s="22"/>
      <c r="I198" s="23"/>
      <c r="J198" s="21"/>
      <c r="K198" s="21"/>
    </row>
    <row r="199" spans="2:11" x14ac:dyDescent="0.35">
      <c r="B199" s="29"/>
      <c r="C199" s="27"/>
      <c r="G199" s="21"/>
      <c r="H199" s="22"/>
      <c r="I199" s="23"/>
      <c r="J199" s="21"/>
      <c r="K199" s="21"/>
    </row>
    <row r="200" spans="2:11" x14ac:dyDescent="0.35">
      <c r="B200" s="29"/>
      <c r="C200" s="27"/>
      <c r="G200" s="21"/>
      <c r="H200" s="22"/>
      <c r="I200" s="23"/>
      <c r="J200" s="21"/>
      <c r="K200" s="21"/>
    </row>
    <row r="201" spans="2:11" ht="18" x14ac:dyDescent="0.4">
      <c r="B201" s="44" t="s">
        <v>537</v>
      </c>
      <c r="C201" s="27"/>
      <c r="G201" s="21"/>
      <c r="H201" s="22"/>
      <c r="I201" s="23"/>
      <c r="J201" s="21"/>
      <c r="K201" s="21"/>
    </row>
    <row r="202" spans="2:11" ht="16" thickBot="1" x14ac:dyDescent="0.4">
      <c r="C202" s="88" t="s">
        <v>2</v>
      </c>
      <c r="G202" s="21"/>
      <c r="H202" s="22"/>
      <c r="I202" s="23"/>
      <c r="J202" s="21"/>
      <c r="K202" s="21"/>
    </row>
    <row r="203" spans="2:11" x14ac:dyDescent="0.35">
      <c r="B203" s="29" t="s">
        <v>472</v>
      </c>
      <c r="C203" s="201">
        <v>8.1510999999999996</v>
      </c>
      <c r="D203" s="27" t="s">
        <v>407</v>
      </c>
      <c r="F203" s="225">
        <f t="shared" ref="F203:F204" si="1">2.326*C203</f>
        <v>18.959458599999998</v>
      </c>
      <c r="G203" s="21" t="s">
        <v>964</v>
      </c>
      <c r="H203" s="22"/>
      <c r="I203" s="23"/>
      <c r="J203" s="21"/>
      <c r="K203" s="21"/>
    </row>
    <row r="204" spans="2:11" x14ac:dyDescent="0.35">
      <c r="B204" s="29" t="s">
        <v>538</v>
      </c>
      <c r="C204" s="198">
        <v>0.64929999999999999</v>
      </c>
      <c r="D204" s="27" t="s">
        <v>407</v>
      </c>
      <c r="F204" s="226">
        <f t="shared" si="1"/>
        <v>1.5102717999999999</v>
      </c>
      <c r="G204" s="21" t="s">
        <v>964</v>
      </c>
      <c r="H204" s="22"/>
      <c r="I204" s="23"/>
      <c r="J204" s="21"/>
      <c r="K204" s="21"/>
    </row>
    <row r="205" spans="2:11" x14ac:dyDescent="0.35">
      <c r="B205" s="29" t="s">
        <v>539</v>
      </c>
      <c r="C205" s="205">
        <v>2584.8000000000002</v>
      </c>
      <c r="D205" s="27" t="s">
        <v>73</v>
      </c>
      <c r="F205" s="224">
        <f>2.326*C205</f>
        <v>6012.2448000000004</v>
      </c>
      <c r="G205" s="21" t="s">
        <v>680</v>
      </c>
      <c r="H205" s="22"/>
      <c r="I205" s="23"/>
      <c r="J205" s="21"/>
      <c r="K205" s="21"/>
    </row>
    <row r="206" spans="2:11" ht="16" thickBot="1" x14ac:dyDescent="0.4">
      <c r="B206" s="29" t="s">
        <v>540</v>
      </c>
      <c r="C206" s="206">
        <v>191.98</v>
      </c>
      <c r="D206" s="27" t="s">
        <v>73</v>
      </c>
      <c r="F206" s="223">
        <f>2.326*C206</f>
        <v>446.54548</v>
      </c>
      <c r="G206" s="21" t="s">
        <v>680</v>
      </c>
      <c r="H206" s="22"/>
      <c r="I206" s="23"/>
      <c r="J206" s="21"/>
      <c r="K206" s="21"/>
    </row>
    <row r="207" spans="2:11" x14ac:dyDescent="0.35">
      <c r="B207" s="29"/>
      <c r="C207" s="88" t="s">
        <v>3</v>
      </c>
      <c r="G207" s="21"/>
      <c r="H207" s="22"/>
      <c r="I207" s="23"/>
      <c r="J207" s="21"/>
      <c r="K207" s="21"/>
    </row>
    <row r="208" spans="2:11" x14ac:dyDescent="0.35">
      <c r="B208" s="86" t="s">
        <v>476</v>
      </c>
      <c r="C208" s="137">
        <f>C150</f>
        <v>7.1250999999999998</v>
      </c>
      <c r="D208" s="4" t="s">
        <v>407</v>
      </c>
      <c r="E208" s="2"/>
      <c r="G208" s="21"/>
      <c r="H208" s="22"/>
      <c r="I208" s="23"/>
      <c r="J208" s="21"/>
      <c r="K208" s="21"/>
    </row>
    <row r="209" spans="2:11" x14ac:dyDescent="0.35">
      <c r="B209" s="152" t="s">
        <v>477</v>
      </c>
      <c r="C209" s="137">
        <f>C203-C204</f>
        <v>7.5017999999999994</v>
      </c>
      <c r="D209" s="4" t="s">
        <v>407</v>
      </c>
      <c r="E209" s="2"/>
      <c r="G209" s="21"/>
      <c r="H209" s="22"/>
      <c r="I209" s="23"/>
      <c r="J209" s="21"/>
      <c r="K209" s="21"/>
    </row>
    <row r="210" spans="2:11" x14ac:dyDescent="0.35">
      <c r="B210" s="86" t="s">
        <v>541</v>
      </c>
      <c r="C210" s="4" t="s">
        <v>473</v>
      </c>
      <c r="D210" s="2"/>
      <c r="E210" s="2"/>
      <c r="G210" s="21"/>
      <c r="H210" s="22"/>
      <c r="I210" s="23"/>
      <c r="J210" s="21"/>
      <c r="K210" s="21"/>
    </row>
    <row r="211" spans="2:11" x14ac:dyDescent="0.35">
      <c r="B211" s="86" t="s">
        <v>4</v>
      </c>
      <c r="C211" s="94">
        <f>(C208-C204) / C209</f>
        <v>0.8632328241222107</v>
      </c>
      <c r="D211" s="2"/>
      <c r="E211" s="2"/>
      <c r="G211" s="21"/>
      <c r="H211" s="22"/>
      <c r="I211" s="23"/>
      <c r="J211" s="21"/>
      <c r="K211" s="21"/>
    </row>
    <row r="212" spans="2:11" x14ac:dyDescent="0.35">
      <c r="B212" s="152" t="s">
        <v>463</v>
      </c>
      <c r="C212" s="93">
        <f>C205-C206</f>
        <v>2392.8200000000002</v>
      </c>
      <c r="D212" s="4" t="s">
        <v>73</v>
      </c>
      <c r="E212" s="2"/>
      <c r="G212" s="21"/>
      <c r="H212" s="22"/>
      <c r="I212" s="23"/>
      <c r="J212" s="21"/>
      <c r="K212" s="21"/>
    </row>
    <row r="213" spans="2:11" x14ac:dyDescent="0.35">
      <c r="B213" s="86" t="s">
        <v>542</v>
      </c>
      <c r="C213" s="4" t="s">
        <v>469</v>
      </c>
      <c r="D213" s="2"/>
      <c r="E213" s="2"/>
      <c r="G213" s="21"/>
      <c r="H213" s="22"/>
      <c r="I213" s="23"/>
      <c r="J213" s="21"/>
      <c r="K213" s="21"/>
    </row>
    <row r="214" spans="2:11" x14ac:dyDescent="0.35">
      <c r="B214" s="86" t="s">
        <v>4</v>
      </c>
      <c r="C214" s="93">
        <f>C206+(C211*C212)</f>
        <v>2257.5407662161083</v>
      </c>
      <c r="D214" s="4" t="s">
        <v>73</v>
      </c>
      <c r="E214" s="2"/>
      <c r="G214" s="21"/>
      <c r="H214" s="22"/>
      <c r="I214" s="23"/>
      <c r="J214" s="21"/>
      <c r="K214" s="21"/>
    </row>
    <row r="215" spans="2:11" x14ac:dyDescent="0.35">
      <c r="B215" s="29"/>
      <c r="C215" s="27"/>
      <c r="G215" s="21"/>
      <c r="H215" s="22"/>
      <c r="I215" s="23"/>
      <c r="J215" s="21"/>
      <c r="K215" s="21"/>
    </row>
    <row r="216" spans="2:11" x14ac:dyDescent="0.35">
      <c r="B216" s="29"/>
      <c r="C216" s="27"/>
      <c r="G216" s="21"/>
      <c r="H216" s="22"/>
      <c r="I216" s="23"/>
      <c r="J216" s="21"/>
      <c r="K216" s="21"/>
    </row>
    <row r="217" spans="2:11" ht="18" x14ac:dyDescent="0.4">
      <c r="B217" s="3" t="s">
        <v>528</v>
      </c>
      <c r="G217" s="21"/>
      <c r="H217" s="22"/>
      <c r="I217" s="23"/>
      <c r="J217" s="21"/>
      <c r="K217" s="21"/>
    </row>
    <row r="218" spans="2:11" x14ac:dyDescent="0.35">
      <c r="G218" s="21"/>
      <c r="H218" s="22"/>
      <c r="I218" s="23"/>
      <c r="J218" s="21"/>
      <c r="K218" s="21"/>
    </row>
    <row r="219" spans="2:11" x14ac:dyDescent="0.35">
      <c r="G219" s="21"/>
      <c r="H219" s="22"/>
      <c r="I219" s="23"/>
      <c r="J219" s="21"/>
      <c r="K219" s="21"/>
    </row>
    <row r="220" spans="2:11" x14ac:dyDescent="0.35">
      <c r="G220" s="21"/>
      <c r="H220" s="22"/>
      <c r="I220" s="23"/>
      <c r="J220" s="21"/>
      <c r="K220" s="21"/>
    </row>
    <row r="221" spans="2:11" x14ac:dyDescent="0.35">
      <c r="G221" s="21"/>
      <c r="H221" s="22"/>
      <c r="I221" s="23"/>
      <c r="J221" s="21"/>
      <c r="K221" s="21"/>
    </row>
    <row r="222" spans="2:11" x14ac:dyDescent="0.35">
      <c r="G222" s="21"/>
      <c r="H222" s="22"/>
      <c r="I222" s="23"/>
      <c r="J222" s="21"/>
      <c r="K222" s="21"/>
    </row>
    <row r="223" spans="2:11" x14ac:dyDescent="0.35">
      <c r="G223" s="21"/>
      <c r="H223" s="22"/>
      <c r="I223" s="23"/>
      <c r="J223" s="21"/>
      <c r="K223" s="21"/>
    </row>
    <row r="224" spans="2:11" x14ac:dyDescent="0.35">
      <c r="G224" s="21"/>
      <c r="H224" s="22"/>
      <c r="I224" s="23"/>
      <c r="J224" s="21"/>
      <c r="K224" s="21"/>
    </row>
    <row r="225" spans="7:11" x14ac:dyDescent="0.35">
      <c r="G225" s="21"/>
      <c r="H225" s="22"/>
      <c r="I225" s="23"/>
      <c r="J225" s="21"/>
      <c r="K225" s="21"/>
    </row>
    <row r="226" spans="7:11" x14ac:dyDescent="0.35">
      <c r="G226" s="21"/>
      <c r="H226" s="22"/>
      <c r="I226" s="23"/>
      <c r="J226" s="21"/>
      <c r="K226" s="21"/>
    </row>
    <row r="227" spans="7:11" x14ac:dyDescent="0.35">
      <c r="G227" s="21"/>
      <c r="H227" s="22"/>
      <c r="I227" s="23"/>
      <c r="J227" s="21"/>
      <c r="K227" s="21"/>
    </row>
    <row r="228" spans="7:11" x14ac:dyDescent="0.35">
      <c r="G228" s="21"/>
      <c r="H228" s="22"/>
      <c r="I228" s="23"/>
      <c r="J228" s="21"/>
      <c r="K228" s="21"/>
    </row>
    <row r="229" spans="7:11" x14ac:dyDescent="0.35">
      <c r="G229" s="21"/>
      <c r="H229" s="164"/>
      <c r="I229" s="23"/>
      <c r="J229" s="21"/>
      <c r="K229" s="21"/>
    </row>
    <row r="230" spans="7:11" x14ac:dyDescent="0.35">
      <c r="G230" s="21"/>
      <c r="H230" s="164"/>
      <c r="I230" s="23"/>
      <c r="J230" s="21"/>
      <c r="K230" s="21"/>
    </row>
    <row r="231" spans="7:11" x14ac:dyDescent="0.35">
      <c r="G231" s="21"/>
      <c r="H231" s="164"/>
      <c r="I231" s="23"/>
      <c r="J231" s="21"/>
      <c r="K231" s="21"/>
    </row>
    <row r="232" spans="7:11" x14ac:dyDescent="0.35">
      <c r="G232" s="21"/>
      <c r="H232" s="164"/>
      <c r="I232" s="23"/>
      <c r="J232" s="21"/>
      <c r="K232" s="21"/>
    </row>
    <row r="233" spans="7:11" x14ac:dyDescent="0.35">
      <c r="G233" s="21"/>
      <c r="H233" s="164"/>
      <c r="I233" s="23"/>
      <c r="J233" s="21"/>
      <c r="K233" s="21"/>
    </row>
    <row r="234" spans="7:11" x14ac:dyDescent="0.35">
      <c r="G234" s="21"/>
      <c r="H234" s="164"/>
      <c r="I234" s="23"/>
      <c r="J234" s="21"/>
      <c r="K234" s="21"/>
    </row>
    <row r="235" spans="7:11" x14ac:dyDescent="0.35">
      <c r="G235" s="21"/>
      <c r="H235" s="164"/>
      <c r="I235" s="23"/>
      <c r="J235" s="21"/>
      <c r="K235" s="21"/>
    </row>
    <row r="236" spans="7:11" x14ac:dyDescent="0.35">
      <c r="G236" s="21"/>
      <c r="H236" s="164"/>
      <c r="I236" s="23"/>
      <c r="J236" s="21"/>
      <c r="K236" s="21"/>
    </row>
    <row r="237" spans="7:11" x14ac:dyDescent="0.35">
      <c r="G237" s="21"/>
      <c r="H237" s="22"/>
      <c r="I237" s="23"/>
      <c r="J237" s="21"/>
      <c r="K237" s="21"/>
    </row>
    <row r="238" spans="7:11" x14ac:dyDescent="0.35">
      <c r="G238" s="21"/>
      <c r="H238" s="22"/>
      <c r="I238" s="23"/>
      <c r="J238" s="21"/>
      <c r="K238" s="21"/>
    </row>
    <row r="239" spans="7:11" x14ac:dyDescent="0.35">
      <c r="G239" s="21"/>
      <c r="H239" s="22"/>
      <c r="I239" s="23"/>
      <c r="J239" s="21"/>
      <c r="K239" s="21"/>
    </row>
    <row r="240" spans="7:11" x14ac:dyDescent="0.35">
      <c r="G240" s="21"/>
      <c r="H240" s="22"/>
      <c r="I240" s="23"/>
      <c r="J240" s="21"/>
      <c r="K240" s="21"/>
    </row>
    <row r="241" spans="2:11" x14ac:dyDescent="0.35">
      <c r="G241" s="21"/>
      <c r="H241" s="22"/>
      <c r="I241" s="23"/>
      <c r="J241" s="21"/>
      <c r="K241" s="21"/>
    </row>
    <row r="242" spans="2:11" x14ac:dyDescent="0.35">
      <c r="B242" s="29"/>
      <c r="C242" s="27"/>
      <c r="D242" s="27"/>
      <c r="G242" s="21"/>
      <c r="H242" s="22"/>
      <c r="I242" s="23"/>
      <c r="J242" s="21"/>
      <c r="K242" s="21"/>
    </row>
    <row r="243" spans="2:11" x14ac:dyDescent="0.35">
      <c r="B243" s="29"/>
      <c r="C243" s="27"/>
      <c r="D243" s="27"/>
      <c r="G243" s="21"/>
      <c r="H243" s="22"/>
      <c r="I243" s="23"/>
      <c r="J243" s="21"/>
      <c r="K243" s="21"/>
    </row>
    <row r="244" spans="2:11" x14ac:dyDescent="0.35">
      <c r="B244" s="29"/>
      <c r="C244" s="27"/>
      <c r="D244" s="27"/>
      <c r="G244" s="21"/>
      <c r="H244" s="22"/>
      <c r="I244" s="23"/>
      <c r="J244" s="21"/>
      <c r="K244" s="21"/>
    </row>
    <row r="245" spans="2:11" x14ac:dyDescent="0.35">
      <c r="B245" s="29"/>
      <c r="C245" s="27"/>
      <c r="D245" s="27"/>
      <c r="G245" s="21"/>
      <c r="H245" s="22"/>
      <c r="I245" s="23"/>
      <c r="J245" s="21"/>
      <c r="K245" s="21"/>
    </row>
    <row r="246" spans="2:11" x14ac:dyDescent="0.35">
      <c r="B246" s="29"/>
      <c r="C246" s="27"/>
      <c r="D246" s="27"/>
      <c r="G246" s="21"/>
      <c r="H246" s="22"/>
      <c r="I246" s="23"/>
      <c r="J246" s="21"/>
      <c r="K246" s="21"/>
    </row>
    <row r="247" spans="2:11" x14ac:dyDescent="0.35">
      <c r="B247" s="29"/>
      <c r="C247" s="27"/>
      <c r="D247" s="27"/>
      <c r="G247" s="21"/>
      <c r="H247" s="22"/>
      <c r="I247" s="23"/>
      <c r="J247" s="21"/>
      <c r="K247" s="21"/>
    </row>
    <row r="248" spans="2:11" x14ac:dyDescent="0.35">
      <c r="B248" s="29"/>
      <c r="C248" s="27"/>
      <c r="D248" s="27"/>
      <c r="G248" s="21"/>
      <c r="H248" s="22"/>
      <c r="I248" s="23"/>
      <c r="J248" s="21"/>
      <c r="K248" s="21"/>
    </row>
    <row r="249" spans="2:11" x14ac:dyDescent="0.35">
      <c r="B249" s="29"/>
      <c r="C249" s="27"/>
      <c r="D249" s="27"/>
      <c r="G249" s="21"/>
      <c r="H249" s="22"/>
      <c r="I249" s="23"/>
      <c r="J249" s="21"/>
      <c r="K249" s="21"/>
    </row>
    <row r="250" spans="2:11" x14ac:dyDescent="0.35">
      <c r="B250" s="29"/>
      <c r="C250" s="27"/>
      <c r="D250" s="27"/>
      <c r="G250" s="24"/>
      <c r="H250" s="22"/>
      <c r="I250" s="23"/>
      <c r="J250" s="21"/>
      <c r="K250" s="21"/>
    </row>
    <row r="251" spans="2:11" x14ac:dyDescent="0.35">
      <c r="B251" s="29"/>
      <c r="C251" s="27"/>
      <c r="D251" s="27"/>
      <c r="G251" s="21"/>
      <c r="H251" s="22"/>
      <c r="I251" s="23"/>
      <c r="J251" s="21"/>
      <c r="K251" s="21"/>
    </row>
    <row r="252" spans="2:11" x14ac:dyDescent="0.35">
      <c r="B252" s="29"/>
      <c r="C252" s="27"/>
      <c r="D252" s="27"/>
      <c r="G252" s="21"/>
      <c r="H252" s="22"/>
      <c r="I252" s="23"/>
      <c r="J252" s="21"/>
      <c r="K252" s="21"/>
    </row>
    <row r="253" spans="2:11" x14ac:dyDescent="0.35">
      <c r="B253" s="29"/>
      <c r="C253" s="27"/>
      <c r="D253" s="27"/>
      <c r="G253" s="21"/>
      <c r="H253" s="22"/>
      <c r="I253" s="23"/>
      <c r="J253" s="21"/>
      <c r="K253" s="21"/>
    </row>
    <row r="254" spans="2:11" x14ac:dyDescent="0.35">
      <c r="B254" s="29"/>
      <c r="C254" s="27"/>
      <c r="D254" s="27"/>
      <c r="G254" s="21"/>
      <c r="H254" s="22"/>
      <c r="I254" s="207"/>
      <c r="J254" s="21"/>
      <c r="K254" s="21"/>
    </row>
    <row r="255" spans="2:11" x14ac:dyDescent="0.35">
      <c r="B255" s="29"/>
      <c r="C255" s="27"/>
      <c r="D255" s="27"/>
      <c r="G255" s="21"/>
      <c r="H255" s="22"/>
      <c r="I255" s="144"/>
      <c r="J255" s="21"/>
      <c r="K255" s="21"/>
    </row>
    <row r="256" spans="2:11" x14ac:dyDescent="0.35">
      <c r="B256" s="29"/>
      <c r="C256" s="27"/>
      <c r="D256" s="27"/>
      <c r="G256" s="21"/>
      <c r="H256" s="22"/>
      <c r="I256" s="144"/>
      <c r="J256" s="21"/>
      <c r="K256" s="21"/>
    </row>
    <row r="257" spans="2:11" x14ac:dyDescent="0.35">
      <c r="B257" s="29"/>
      <c r="C257" s="27"/>
      <c r="D257" s="27"/>
      <c r="G257" s="21"/>
      <c r="H257" s="22"/>
      <c r="I257" s="144"/>
      <c r="J257" s="21"/>
      <c r="K257" s="21"/>
    </row>
    <row r="258" spans="2:11" x14ac:dyDescent="0.35">
      <c r="B258" s="29"/>
      <c r="C258" s="27"/>
      <c r="D258" s="27"/>
      <c r="G258" s="21"/>
      <c r="H258" s="22"/>
      <c r="I258" s="144"/>
      <c r="J258" s="21"/>
      <c r="K258" s="21"/>
    </row>
    <row r="259" spans="2:11" x14ac:dyDescent="0.35">
      <c r="B259" s="29"/>
      <c r="C259" s="27"/>
      <c r="D259" s="27"/>
      <c r="G259" s="21"/>
      <c r="H259" s="22"/>
      <c r="I259" s="203"/>
      <c r="J259" s="21"/>
      <c r="K259" s="21"/>
    </row>
    <row r="260" spans="2:11" x14ac:dyDescent="0.35">
      <c r="B260" s="29"/>
      <c r="C260" s="27"/>
      <c r="D260" s="27"/>
      <c r="G260" s="21"/>
      <c r="H260" s="22"/>
      <c r="I260" s="144"/>
      <c r="J260" s="21"/>
      <c r="K260" s="21"/>
    </row>
    <row r="261" spans="2:11" x14ac:dyDescent="0.35">
      <c r="B261" s="29"/>
      <c r="C261" s="27"/>
      <c r="D261" s="27"/>
      <c r="G261" s="21"/>
      <c r="H261" s="22"/>
      <c r="I261" s="207"/>
      <c r="J261" s="21"/>
      <c r="K261" s="21"/>
    </row>
    <row r="262" spans="2:11" x14ac:dyDescent="0.35">
      <c r="B262" s="29"/>
      <c r="C262" s="27"/>
      <c r="D262" s="27"/>
      <c r="G262" s="21"/>
      <c r="H262" s="22"/>
      <c r="I262" s="23"/>
      <c r="J262" s="21"/>
      <c r="K262" s="21"/>
    </row>
    <row r="263" spans="2:11" x14ac:dyDescent="0.35">
      <c r="B263" s="29"/>
      <c r="C263" s="27"/>
      <c r="D263" s="27"/>
      <c r="G263" s="21"/>
      <c r="H263" s="22"/>
      <c r="I263" s="23"/>
      <c r="J263" s="21"/>
      <c r="K263" s="21"/>
    </row>
    <row r="264" spans="2:11" x14ac:dyDescent="0.35">
      <c r="G264" s="21"/>
      <c r="H264" s="22"/>
      <c r="I264" s="23"/>
      <c r="J264" s="21"/>
      <c r="K264" s="21"/>
    </row>
    <row r="265" spans="2:11" x14ac:dyDescent="0.35">
      <c r="G265" s="21"/>
      <c r="H265" s="22"/>
      <c r="I265" s="23"/>
      <c r="J265" s="21"/>
      <c r="K265" s="21"/>
    </row>
    <row r="266" spans="2:11" x14ac:dyDescent="0.35">
      <c r="G266" s="21"/>
      <c r="H266" s="22"/>
      <c r="I266" s="23"/>
      <c r="J266" s="21"/>
      <c r="K266" s="21"/>
    </row>
    <row r="267" spans="2:11" x14ac:dyDescent="0.35">
      <c r="G267" s="21"/>
      <c r="H267" s="22"/>
      <c r="I267" s="23"/>
      <c r="J267" s="21"/>
      <c r="K267" s="21"/>
    </row>
    <row r="268" spans="2:11" x14ac:dyDescent="0.35">
      <c r="G268" s="21"/>
      <c r="H268" s="22"/>
      <c r="I268" s="23"/>
      <c r="J268" s="21"/>
      <c r="K268" s="21"/>
    </row>
    <row r="269" spans="2:11" x14ac:dyDescent="0.35">
      <c r="G269" s="21"/>
      <c r="H269" s="14"/>
      <c r="I269" s="23"/>
      <c r="J269" s="21"/>
      <c r="K269" s="21"/>
    </row>
    <row r="270" spans="2:11" x14ac:dyDescent="0.35">
      <c r="G270" s="21"/>
      <c r="H270" s="14"/>
      <c r="I270" s="23"/>
      <c r="J270" s="21"/>
      <c r="K270" s="21"/>
    </row>
    <row r="271" spans="2:11" x14ac:dyDescent="0.35">
      <c r="G271" s="21"/>
      <c r="H271" s="14"/>
      <c r="I271" s="23"/>
      <c r="J271" s="21"/>
      <c r="K271" s="21"/>
    </row>
    <row r="272" spans="2:11" x14ac:dyDescent="0.35">
      <c r="G272" s="21"/>
      <c r="H272" s="22"/>
      <c r="I272" s="23"/>
      <c r="J272" s="21"/>
      <c r="K272" s="21"/>
    </row>
    <row r="273" spans="2:14" x14ac:dyDescent="0.35">
      <c r="G273" s="21"/>
      <c r="H273" s="22"/>
      <c r="I273" s="23"/>
      <c r="J273" s="21"/>
      <c r="K273" s="21"/>
    </row>
    <row r="274" spans="2:14" x14ac:dyDescent="0.35">
      <c r="G274" s="21"/>
      <c r="H274" s="14"/>
      <c r="I274" s="23"/>
      <c r="J274" s="21"/>
      <c r="K274" s="21"/>
    </row>
    <row r="275" spans="2:14" x14ac:dyDescent="0.35">
      <c r="G275" s="21"/>
      <c r="H275" s="114"/>
      <c r="I275" s="23"/>
      <c r="J275" s="21"/>
      <c r="K275" s="21"/>
    </row>
    <row r="276" spans="2:14" x14ac:dyDescent="0.35">
      <c r="G276" s="21"/>
      <c r="H276" s="14"/>
      <c r="I276" s="23"/>
      <c r="J276" s="21"/>
      <c r="K276" s="21"/>
    </row>
    <row r="277" spans="2:14" x14ac:dyDescent="0.35">
      <c r="G277" s="21"/>
      <c r="H277" s="14"/>
      <c r="I277" s="23"/>
      <c r="J277" s="21"/>
      <c r="K277" s="21"/>
    </row>
    <row r="278" spans="2:14" x14ac:dyDescent="0.35">
      <c r="G278" s="21"/>
      <c r="H278" s="14"/>
      <c r="I278" s="23"/>
      <c r="J278" s="21"/>
      <c r="K278" s="21"/>
    </row>
    <row r="279" spans="2:14" x14ac:dyDescent="0.35">
      <c r="G279" s="21"/>
      <c r="H279" s="14"/>
      <c r="I279" s="23"/>
      <c r="J279" s="21"/>
      <c r="K279" s="21"/>
    </row>
    <row r="280" spans="2:14" ht="18" x14ac:dyDescent="0.4">
      <c r="B280" s="3" t="s">
        <v>804</v>
      </c>
      <c r="G280" s="21"/>
      <c r="H280" s="14"/>
      <c r="I280" s="23"/>
      <c r="J280" s="21"/>
      <c r="K280" s="21"/>
    </row>
    <row r="281" spans="2:14" ht="16" thickBot="1" x14ac:dyDescent="0.4">
      <c r="B281" s="29"/>
      <c r="C281" s="88" t="s">
        <v>2</v>
      </c>
      <c r="D281" s="27"/>
      <c r="F281" s="27"/>
      <c r="G281" s="144"/>
      <c r="H281" s="185"/>
      <c r="I281" s="36"/>
      <c r="J281" s="36"/>
      <c r="K281" s="36"/>
      <c r="L281" s="36"/>
      <c r="M281" s="36"/>
      <c r="N281" s="36"/>
    </row>
    <row r="282" spans="2:14" x14ac:dyDescent="0.35">
      <c r="B282" s="29" t="s">
        <v>548</v>
      </c>
      <c r="C282" s="89">
        <v>600</v>
      </c>
      <c r="D282" s="27" t="s">
        <v>15</v>
      </c>
      <c r="F282" s="13"/>
      <c r="G282" s="21"/>
      <c r="H282" s="21"/>
      <c r="I282" s="20"/>
    </row>
    <row r="283" spans="2:14" x14ac:dyDescent="0.35">
      <c r="B283" s="29" t="s">
        <v>549</v>
      </c>
      <c r="C283" s="135">
        <v>1000</v>
      </c>
      <c r="D283" s="27" t="s">
        <v>9</v>
      </c>
      <c r="F283" s="23"/>
      <c r="G283" s="21"/>
      <c r="H283" s="21"/>
      <c r="I283" s="20"/>
    </row>
    <row r="284" spans="2:14" x14ac:dyDescent="0.35">
      <c r="B284" s="29" t="s">
        <v>550</v>
      </c>
      <c r="C284" s="135">
        <v>40</v>
      </c>
      <c r="D284" s="20" t="s">
        <v>15</v>
      </c>
      <c r="F284" s="23"/>
      <c r="G284" s="21"/>
      <c r="H284" s="21"/>
      <c r="I284" s="20"/>
    </row>
    <row r="285" spans="2:14" x14ac:dyDescent="0.35">
      <c r="B285" s="29" t="s">
        <v>551</v>
      </c>
      <c r="C285" s="135">
        <v>600</v>
      </c>
      <c r="D285" s="27" t="s">
        <v>9</v>
      </c>
      <c r="F285" s="140"/>
      <c r="G285" s="21"/>
      <c r="H285" s="21"/>
      <c r="I285" s="20"/>
    </row>
    <row r="286" spans="2:14" ht="16" thickBot="1" x14ac:dyDescent="0.4">
      <c r="B286" s="29" t="s">
        <v>552</v>
      </c>
      <c r="C286" s="91">
        <v>2</v>
      </c>
      <c r="D286" s="27" t="s">
        <v>15</v>
      </c>
      <c r="F286" s="208"/>
      <c r="G286" s="21"/>
      <c r="H286" s="21"/>
      <c r="I286" s="20"/>
    </row>
    <row r="287" spans="2:14" x14ac:dyDescent="0.35">
      <c r="F287" s="13"/>
      <c r="G287" s="21"/>
      <c r="H287" s="21"/>
      <c r="I287" s="20"/>
    </row>
    <row r="288" spans="2:14" x14ac:dyDescent="0.35">
      <c r="F288" s="140"/>
      <c r="G288" s="21"/>
      <c r="H288" s="21"/>
      <c r="I288" s="20"/>
    </row>
    <row r="289" spans="1:9" ht="16" thickBot="1" x14ac:dyDescent="0.4">
      <c r="F289" s="209"/>
      <c r="G289" s="21"/>
      <c r="H289" s="21"/>
      <c r="I289" s="20"/>
    </row>
    <row r="290" spans="1:9" ht="16" thickBot="1" x14ac:dyDescent="0.4">
      <c r="A290" s="215"/>
      <c r="B290" s="216" t="s">
        <v>956</v>
      </c>
      <c r="C290" s="49"/>
      <c r="D290" s="217"/>
      <c r="F290" s="47"/>
      <c r="G290" s="21"/>
      <c r="H290" s="21"/>
      <c r="I290" s="20"/>
    </row>
    <row r="291" spans="1:9" x14ac:dyDescent="0.35">
      <c r="F291" s="148"/>
      <c r="G291" s="21"/>
      <c r="H291" s="21"/>
      <c r="I291" s="20"/>
    </row>
    <row r="292" spans="1:9" ht="16" thickBot="1" x14ac:dyDescent="0.4">
      <c r="B292" s="4" t="s">
        <v>462</v>
      </c>
      <c r="F292" s="23"/>
      <c r="G292" s="21"/>
      <c r="H292" s="21"/>
      <c r="I292" s="20"/>
    </row>
    <row r="293" spans="1:9" ht="16" thickBot="1" x14ac:dyDescent="0.4">
      <c r="A293" s="215"/>
      <c r="B293" s="216" t="s">
        <v>956</v>
      </c>
      <c r="C293" s="49"/>
      <c r="D293" s="217"/>
      <c r="E293" s="215"/>
      <c r="F293" s="23"/>
      <c r="G293" s="21"/>
      <c r="H293" s="21"/>
      <c r="I293" s="20"/>
    </row>
    <row r="294" spans="1:9" x14ac:dyDescent="0.35">
      <c r="F294" s="23"/>
      <c r="G294" s="21"/>
      <c r="H294" s="21"/>
      <c r="I294" s="20"/>
    </row>
    <row r="295" spans="1:9" x14ac:dyDescent="0.35">
      <c r="F295" s="23"/>
      <c r="G295" s="21"/>
      <c r="H295" s="21"/>
      <c r="I295" s="20"/>
    </row>
    <row r="296" spans="1:9" x14ac:dyDescent="0.35">
      <c r="F296" s="144"/>
      <c r="G296" s="21"/>
      <c r="H296" s="21"/>
      <c r="I296" s="20"/>
    </row>
    <row r="297" spans="1:9" x14ac:dyDescent="0.35">
      <c r="G297" s="21"/>
      <c r="H297" s="22"/>
    </row>
    <row r="298" spans="1:9" ht="16" thickBot="1" x14ac:dyDescent="0.4">
      <c r="G298" s="21"/>
      <c r="H298" s="22"/>
    </row>
    <row r="299" spans="1:9" x14ac:dyDescent="0.35">
      <c r="D299" s="218" t="s">
        <v>957</v>
      </c>
      <c r="G299" s="21"/>
      <c r="H299" s="22"/>
    </row>
    <row r="300" spans="1:9" ht="16" thickBot="1" x14ac:dyDescent="0.4">
      <c r="D300" s="219" t="s">
        <v>958</v>
      </c>
      <c r="G300" s="21"/>
      <c r="H300" s="22"/>
    </row>
    <row r="301" spans="1:9" x14ac:dyDescent="0.35">
      <c r="B301" s="29"/>
      <c r="C301" s="27"/>
      <c r="D301" s="27"/>
      <c r="G301" s="21"/>
      <c r="H301" s="22"/>
    </row>
    <row r="302" spans="1:9" x14ac:dyDescent="0.35">
      <c r="G302" s="21"/>
      <c r="H302" s="22"/>
    </row>
    <row r="303" spans="1:9" x14ac:dyDescent="0.35">
      <c r="G303" s="21"/>
      <c r="H303" s="22"/>
    </row>
    <row r="304" spans="1:9" x14ac:dyDescent="0.35">
      <c r="G304" s="21"/>
      <c r="H304" s="22"/>
    </row>
    <row r="305" spans="7:11" x14ac:dyDescent="0.35">
      <c r="G305" s="21"/>
      <c r="H305" s="22"/>
    </row>
    <row r="306" spans="7:11" x14ac:dyDescent="0.35">
      <c r="G306" s="21"/>
      <c r="H306" s="22"/>
    </row>
    <row r="307" spans="7:11" x14ac:dyDescent="0.35">
      <c r="G307" s="21"/>
      <c r="H307" s="22"/>
    </row>
    <row r="308" spans="7:11" x14ac:dyDescent="0.35">
      <c r="G308" s="21"/>
      <c r="H308" s="22"/>
    </row>
    <row r="309" spans="7:11" x14ac:dyDescent="0.35">
      <c r="G309" s="21"/>
      <c r="H309" s="22"/>
    </row>
    <row r="310" spans="7:11" x14ac:dyDescent="0.35">
      <c r="G310" s="21"/>
      <c r="H310" s="22"/>
    </row>
    <row r="311" spans="7:11" x14ac:dyDescent="0.35">
      <c r="G311" s="21"/>
      <c r="H311" s="22"/>
      <c r="I311" s="144"/>
      <c r="J311" s="21"/>
      <c r="K311" s="21"/>
    </row>
    <row r="312" spans="7:11" x14ac:dyDescent="0.35">
      <c r="G312" s="21"/>
      <c r="H312" s="22"/>
      <c r="I312" s="144"/>
      <c r="J312" s="21"/>
      <c r="K312" s="21"/>
    </row>
    <row r="313" spans="7:11" x14ac:dyDescent="0.35">
      <c r="G313" s="21"/>
      <c r="H313" s="22"/>
      <c r="I313" s="144"/>
      <c r="J313" s="21"/>
      <c r="K313" s="21"/>
    </row>
    <row r="314" spans="7:11" x14ac:dyDescent="0.35">
      <c r="G314" s="21"/>
      <c r="H314" s="22"/>
      <c r="I314" s="144"/>
      <c r="J314" s="144"/>
      <c r="K314" s="21"/>
    </row>
    <row r="315" spans="7:11" x14ac:dyDescent="0.35">
      <c r="G315" s="21"/>
      <c r="H315" s="22"/>
      <c r="I315" s="144"/>
      <c r="J315" s="144"/>
      <c r="K315" s="21"/>
    </row>
    <row r="316" spans="7:11" x14ac:dyDescent="0.35">
      <c r="G316" s="21"/>
      <c r="H316" s="22"/>
      <c r="I316" s="144"/>
      <c r="J316" s="144"/>
      <c r="K316" s="21"/>
    </row>
    <row r="317" spans="7:11" x14ac:dyDescent="0.35">
      <c r="G317" s="21"/>
      <c r="H317" s="22"/>
      <c r="I317" s="23"/>
      <c r="J317" s="144"/>
      <c r="K317" s="21"/>
    </row>
    <row r="318" spans="7:11" x14ac:dyDescent="0.35">
      <c r="G318" s="21"/>
      <c r="H318" s="22"/>
      <c r="I318" s="23"/>
      <c r="J318" s="144"/>
      <c r="K318" s="21"/>
    </row>
    <row r="319" spans="7:11" x14ac:dyDescent="0.35">
      <c r="G319" s="21"/>
      <c r="H319" s="22"/>
      <c r="I319" s="99"/>
      <c r="J319" s="144"/>
      <c r="K319" s="21"/>
    </row>
    <row r="320" spans="7:11" x14ac:dyDescent="0.35">
      <c r="G320" s="21"/>
      <c r="H320" s="22"/>
      <c r="I320" s="23"/>
      <c r="J320" s="144"/>
      <c r="K320" s="21"/>
    </row>
    <row r="321" spans="2:11" x14ac:dyDescent="0.35">
      <c r="B321" s="4" t="s">
        <v>837</v>
      </c>
      <c r="G321" s="21"/>
      <c r="H321" s="22"/>
      <c r="I321" s="23"/>
      <c r="J321" s="144"/>
      <c r="K321" s="21"/>
    </row>
    <row r="322" spans="2:11" ht="16" thickBot="1" x14ac:dyDescent="0.4">
      <c r="C322" s="88" t="s">
        <v>2</v>
      </c>
      <c r="G322" s="21"/>
      <c r="H322" s="22"/>
      <c r="I322" s="23"/>
      <c r="J322" s="23"/>
      <c r="K322" s="21"/>
    </row>
    <row r="323" spans="2:11" x14ac:dyDescent="0.35">
      <c r="B323" s="29" t="s">
        <v>553</v>
      </c>
      <c r="C323" s="89">
        <v>1518</v>
      </c>
      <c r="D323" s="27" t="s">
        <v>73</v>
      </c>
      <c r="G323" s="21"/>
      <c r="H323" s="22"/>
      <c r="I323" s="23"/>
      <c r="J323" s="23"/>
      <c r="K323" s="21"/>
    </row>
    <row r="324" spans="2:11" ht="16" thickBot="1" x14ac:dyDescent="0.4">
      <c r="B324" s="29" t="s">
        <v>799</v>
      </c>
      <c r="C324" s="91">
        <v>1.7159</v>
      </c>
      <c r="D324" s="27" t="s">
        <v>407</v>
      </c>
      <c r="G324" s="21"/>
      <c r="H324" s="22"/>
      <c r="I324" s="23"/>
      <c r="J324" s="21"/>
      <c r="K324" s="21"/>
    </row>
    <row r="325" spans="2:11" x14ac:dyDescent="0.35">
      <c r="G325" s="21"/>
      <c r="H325" s="22"/>
      <c r="I325" s="23"/>
      <c r="J325" s="21"/>
      <c r="K325" s="21"/>
    </row>
    <row r="326" spans="2:11" x14ac:dyDescent="0.35">
      <c r="G326" s="21"/>
      <c r="H326" s="22"/>
      <c r="I326" s="23"/>
      <c r="J326" s="21"/>
      <c r="K326" s="21"/>
    </row>
    <row r="327" spans="2:11" x14ac:dyDescent="0.35">
      <c r="G327" s="21"/>
      <c r="H327" s="22"/>
      <c r="I327" s="23"/>
      <c r="J327" s="21"/>
      <c r="K327" s="21"/>
    </row>
    <row r="328" spans="2:11" x14ac:dyDescent="0.35">
      <c r="G328" s="21"/>
      <c r="H328" s="22"/>
      <c r="I328" s="23"/>
      <c r="J328" s="21"/>
      <c r="K328" s="21"/>
    </row>
    <row r="329" spans="2:11" ht="16" thickBot="1" x14ac:dyDescent="0.4">
      <c r="G329" s="21"/>
      <c r="H329" s="22"/>
      <c r="I329" s="23"/>
      <c r="J329" s="21"/>
      <c r="K329" s="21"/>
    </row>
    <row r="330" spans="2:11" x14ac:dyDescent="0.35">
      <c r="B330" s="86"/>
      <c r="C330" s="4"/>
      <c r="D330" s="218" t="s">
        <v>959</v>
      </c>
      <c r="G330" s="21"/>
      <c r="H330" s="22"/>
      <c r="I330" s="23"/>
      <c r="J330" s="21"/>
      <c r="K330" s="21"/>
    </row>
    <row r="331" spans="2:11" ht="16" thickBot="1" x14ac:dyDescent="0.4">
      <c r="B331" s="86"/>
      <c r="C331" s="137"/>
      <c r="D331" s="219" t="s">
        <v>960</v>
      </c>
      <c r="E331" s="2"/>
      <c r="G331" s="21"/>
      <c r="H331" s="22"/>
      <c r="I331" s="23"/>
      <c r="J331" s="21"/>
      <c r="K331" s="21"/>
    </row>
    <row r="332" spans="2:11" x14ac:dyDescent="0.35">
      <c r="B332" s="86"/>
      <c r="C332" s="137"/>
      <c r="G332" s="21"/>
      <c r="H332" s="22"/>
      <c r="I332" s="23"/>
      <c r="J332" s="21"/>
      <c r="K332" s="21"/>
    </row>
    <row r="333" spans="2:11" x14ac:dyDescent="0.35">
      <c r="B333" s="152"/>
      <c r="C333" s="137"/>
      <c r="D333" s="4"/>
      <c r="E333" s="2"/>
      <c r="G333" s="21"/>
      <c r="H333" s="22"/>
      <c r="I333" s="23"/>
      <c r="J333" s="21"/>
      <c r="K333" s="21"/>
    </row>
    <row r="334" spans="2:11" x14ac:dyDescent="0.35">
      <c r="B334" s="86"/>
      <c r="C334" s="4"/>
      <c r="D334" s="2"/>
      <c r="E334" s="2"/>
      <c r="G334" s="21"/>
      <c r="H334" s="22"/>
      <c r="I334" s="23"/>
      <c r="J334" s="21"/>
      <c r="K334" s="21"/>
    </row>
    <row r="335" spans="2:11" x14ac:dyDescent="0.35">
      <c r="B335" s="86"/>
      <c r="C335" s="137"/>
      <c r="D335" s="2"/>
      <c r="E335" s="2"/>
      <c r="G335" s="21"/>
      <c r="H335" s="22"/>
      <c r="I335" s="23"/>
      <c r="J335" s="21"/>
      <c r="K335" s="21"/>
    </row>
    <row r="336" spans="2:11" x14ac:dyDescent="0.35">
      <c r="B336" s="86"/>
      <c r="C336" s="2"/>
      <c r="D336" s="2"/>
      <c r="G336" s="21"/>
      <c r="H336" s="22"/>
      <c r="I336" s="23"/>
      <c r="J336" s="21"/>
      <c r="K336" s="21"/>
    </row>
    <row r="337" spans="2:11" x14ac:dyDescent="0.35">
      <c r="B337" s="86"/>
      <c r="C337" s="93"/>
      <c r="D337" s="4"/>
      <c r="G337" s="21"/>
      <c r="H337" s="22"/>
      <c r="I337" s="23"/>
      <c r="J337" s="21"/>
      <c r="K337" s="21"/>
    </row>
    <row r="338" spans="2:11" x14ac:dyDescent="0.35">
      <c r="G338" s="21"/>
      <c r="H338" s="22"/>
      <c r="I338" s="23"/>
      <c r="J338" s="21"/>
      <c r="K338" s="21"/>
    </row>
    <row r="339" spans="2:11" x14ac:dyDescent="0.35">
      <c r="G339" s="21"/>
      <c r="H339" s="22"/>
      <c r="I339" s="23"/>
      <c r="J339" s="21"/>
      <c r="K339" s="21"/>
    </row>
    <row r="340" spans="2:11" x14ac:dyDescent="0.35">
      <c r="G340" s="21"/>
      <c r="H340" s="22"/>
      <c r="I340" s="23"/>
      <c r="J340" s="21"/>
      <c r="K340" s="21"/>
    </row>
    <row r="341" spans="2:11" x14ac:dyDescent="0.35">
      <c r="G341" s="21"/>
      <c r="H341" s="22"/>
      <c r="I341" s="23"/>
      <c r="J341" s="21"/>
      <c r="K341" s="21"/>
    </row>
    <row r="342" spans="2:11" x14ac:dyDescent="0.35">
      <c r="G342" s="21"/>
      <c r="H342" s="22"/>
      <c r="I342" s="23"/>
      <c r="J342" s="21"/>
      <c r="K342" s="21"/>
    </row>
    <row r="343" spans="2:11" x14ac:dyDescent="0.35">
      <c r="G343" s="21"/>
      <c r="H343" s="22"/>
      <c r="I343" s="23"/>
      <c r="J343" s="21"/>
      <c r="K343" s="21"/>
    </row>
    <row r="344" spans="2:11" x14ac:dyDescent="0.35">
      <c r="G344" s="21"/>
      <c r="H344" s="22"/>
      <c r="I344" s="23"/>
      <c r="J344" s="21"/>
      <c r="K344" s="21"/>
    </row>
    <row r="345" spans="2:11" x14ac:dyDescent="0.35">
      <c r="G345" s="21"/>
      <c r="H345" s="22"/>
      <c r="I345" s="23"/>
      <c r="J345" s="21"/>
      <c r="K345" s="21"/>
    </row>
    <row r="346" spans="2:11" x14ac:dyDescent="0.35">
      <c r="G346" s="21"/>
      <c r="H346" s="22"/>
      <c r="I346" s="23"/>
      <c r="J346" s="21"/>
      <c r="K346" s="21"/>
    </row>
    <row r="347" spans="2:11" x14ac:dyDescent="0.35">
      <c r="G347" s="21"/>
      <c r="H347" s="22"/>
      <c r="I347" s="23"/>
      <c r="J347" s="21"/>
      <c r="K347" s="21"/>
    </row>
    <row r="348" spans="2:11" x14ac:dyDescent="0.35">
      <c r="G348" s="21"/>
      <c r="H348" s="22"/>
      <c r="I348" s="23"/>
      <c r="J348" s="21"/>
      <c r="K348" s="21"/>
    </row>
    <row r="349" spans="2:11" x14ac:dyDescent="0.35">
      <c r="G349" s="21"/>
      <c r="H349" s="22"/>
      <c r="I349" s="23"/>
      <c r="J349" s="21"/>
      <c r="K349" s="21"/>
    </row>
    <row r="350" spans="2:11" x14ac:dyDescent="0.35">
      <c r="G350" s="21"/>
      <c r="H350" s="22"/>
      <c r="I350" s="23"/>
      <c r="J350" s="21"/>
      <c r="K350" s="21"/>
    </row>
    <row r="351" spans="2:11" x14ac:dyDescent="0.35">
      <c r="G351" s="21"/>
      <c r="H351" s="22"/>
      <c r="I351" s="23"/>
      <c r="J351" s="21"/>
      <c r="K351" s="21"/>
    </row>
    <row r="352" spans="2:11" x14ac:dyDescent="0.35">
      <c r="B352" s="2" t="s">
        <v>801</v>
      </c>
      <c r="G352" s="21"/>
      <c r="H352" s="22"/>
      <c r="I352" s="23"/>
      <c r="J352" s="13"/>
      <c r="K352" s="21"/>
    </row>
    <row r="353" spans="2:11" ht="16" thickBot="1" x14ac:dyDescent="0.4">
      <c r="C353" s="88" t="s">
        <v>2</v>
      </c>
      <c r="G353" s="21"/>
      <c r="H353" s="22"/>
      <c r="I353" s="23"/>
      <c r="J353" s="47"/>
      <c r="K353" s="21"/>
    </row>
    <row r="354" spans="2:11" x14ac:dyDescent="0.35">
      <c r="B354" s="29" t="s">
        <v>554</v>
      </c>
      <c r="C354" s="89">
        <v>1333.6</v>
      </c>
      <c r="D354" s="27" t="s">
        <v>73</v>
      </c>
      <c r="G354" s="21"/>
      <c r="H354" s="22"/>
      <c r="I354" s="23"/>
      <c r="J354" s="47"/>
      <c r="K354" s="21"/>
    </row>
    <row r="355" spans="2:11" ht="16" thickBot="1" x14ac:dyDescent="0.4">
      <c r="B355" s="29" t="s">
        <v>802</v>
      </c>
      <c r="C355" s="91">
        <v>1.8625</v>
      </c>
      <c r="D355" s="27" t="s">
        <v>407</v>
      </c>
      <c r="G355" s="21"/>
      <c r="H355" s="22"/>
      <c r="I355" s="23"/>
      <c r="J355" s="21"/>
      <c r="K355" s="21"/>
    </row>
    <row r="356" spans="2:11" x14ac:dyDescent="0.35">
      <c r="G356" s="21"/>
      <c r="H356" s="22"/>
      <c r="I356" s="23"/>
      <c r="J356" s="47"/>
      <c r="K356" s="21"/>
    </row>
    <row r="357" spans="2:11" x14ac:dyDescent="0.35">
      <c r="G357" s="21"/>
      <c r="H357" s="22"/>
      <c r="I357" s="23"/>
      <c r="J357" s="13"/>
      <c r="K357" s="21"/>
    </row>
    <row r="358" spans="2:11" x14ac:dyDescent="0.35">
      <c r="G358" s="21"/>
      <c r="H358" s="22"/>
      <c r="I358" s="23"/>
      <c r="J358" s="21"/>
      <c r="K358" s="21"/>
    </row>
    <row r="359" spans="2:11" ht="16" thickBot="1" x14ac:dyDescent="0.4">
      <c r="G359" s="21"/>
      <c r="H359" s="22"/>
      <c r="I359" s="23"/>
      <c r="J359" s="21"/>
      <c r="K359" s="21"/>
    </row>
    <row r="360" spans="2:11" x14ac:dyDescent="0.35">
      <c r="D360" s="218" t="s">
        <v>961</v>
      </c>
      <c r="G360" s="21"/>
      <c r="H360" s="22"/>
      <c r="I360" s="23"/>
      <c r="J360" s="21"/>
      <c r="K360" s="21"/>
    </row>
    <row r="361" spans="2:11" ht="16" thickBot="1" x14ac:dyDescent="0.4">
      <c r="D361" s="219" t="s">
        <v>962</v>
      </c>
      <c r="G361" s="21"/>
    </row>
    <row r="362" spans="2:11" x14ac:dyDescent="0.35">
      <c r="G362" s="21"/>
    </row>
    <row r="363" spans="2:11" x14ac:dyDescent="0.35">
      <c r="G363" s="21"/>
    </row>
    <row r="364" spans="2:11" x14ac:dyDescent="0.35">
      <c r="G364" s="21"/>
    </row>
    <row r="365" spans="2:11" x14ac:dyDescent="0.35">
      <c r="G365" s="21"/>
    </row>
    <row r="366" spans="2:11" x14ac:dyDescent="0.35">
      <c r="G366" s="21"/>
    </row>
    <row r="367" spans="2:11" x14ac:dyDescent="0.35">
      <c r="G367" s="21"/>
    </row>
    <row r="368" spans="2:11" x14ac:dyDescent="0.35">
      <c r="G368" s="21"/>
    </row>
    <row r="369" spans="2:11" x14ac:dyDescent="0.35">
      <c r="G369" s="21"/>
      <c r="H369" s="22"/>
      <c r="I369" s="23"/>
      <c r="J369" s="21"/>
      <c r="K369" s="21"/>
    </row>
    <row r="370" spans="2:11" x14ac:dyDescent="0.35">
      <c r="G370" s="21"/>
      <c r="H370" s="22"/>
      <c r="I370" s="23"/>
      <c r="J370" s="21"/>
      <c r="K370" s="21"/>
    </row>
    <row r="371" spans="2:11" x14ac:dyDescent="0.35">
      <c r="G371" s="21"/>
      <c r="H371" s="22"/>
      <c r="I371" s="23"/>
      <c r="J371" s="21"/>
      <c r="K371" s="21"/>
    </row>
    <row r="372" spans="2:11" x14ac:dyDescent="0.35">
      <c r="G372" s="21"/>
      <c r="H372" s="22"/>
      <c r="I372" s="23"/>
      <c r="J372" s="21"/>
      <c r="K372" s="21"/>
    </row>
    <row r="373" spans="2:11" x14ac:dyDescent="0.35">
      <c r="G373" s="21"/>
      <c r="H373" s="22"/>
      <c r="I373" s="23"/>
      <c r="J373" s="21"/>
      <c r="K373" s="21"/>
    </row>
    <row r="374" spans="2:11" x14ac:dyDescent="0.35">
      <c r="B374" s="29"/>
      <c r="C374" s="27"/>
      <c r="D374" s="27"/>
      <c r="G374" s="21"/>
      <c r="H374" s="22"/>
      <c r="I374" s="23"/>
      <c r="J374" s="21"/>
      <c r="K374" s="21"/>
    </row>
    <row r="375" spans="2:11" x14ac:dyDescent="0.35">
      <c r="B375" s="29"/>
      <c r="C375" s="27"/>
      <c r="D375" s="27"/>
      <c r="G375" s="21"/>
      <c r="H375" s="22"/>
      <c r="I375" s="23"/>
      <c r="J375" s="21"/>
      <c r="K375" s="21"/>
    </row>
    <row r="376" spans="2:11" x14ac:dyDescent="0.35">
      <c r="B376" s="29"/>
      <c r="C376" s="27"/>
      <c r="D376" s="27"/>
      <c r="G376" s="21"/>
      <c r="H376" s="22"/>
      <c r="I376" s="23"/>
      <c r="J376" s="21"/>
      <c r="K376" s="21"/>
    </row>
    <row r="377" spans="2:11" x14ac:dyDescent="0.35">
      <c r="B377" s="29"/>
      <c r="C377" s="27"/>
      <c r="D377" s="27"/>
      <c r="G377" s="21"/>
      <c r="H377" s="22"/>
      <c r="I377" s="23"/>
      <c r="J377" s="21"/>
      <c r="K377" s="21"/>
    </row>
    <row r="378" spans="2:11" x14ac:dyDescent="0.35">
      <c r="B378" s="29"/>
      <c r="C378" s="27"/>
      <c r="D378" s="27"/>
      <c r="G378" s="21"/>
      <c r="H378" s="22"/>
      <c r="I378" s="23"/>
      <c r="J378" s="21"/>
      <c r="K378" s="21"/>
    </row>
    <row r="379" spans="2:11" x14ac:dyDescent="0.35">
      <c r="B379" s="29"/>
      <c r="C379" s="27"/>
      <c r="D379" s="27"/>
      <c r="G379" s="21"/>
      <c r="H379" s="22"/>
      <c r="I379" s="23"/>
      <c r="J379" s="21"/>
      <c r="K379" s="21"/>
    </row>
    <row r="380" spans="2:11" x14ac:dyDescent="0.35">
      <c r="B380" s="29"/>
      <c r="C380" s="27"/>
      <c r="D380" s="27"/>
      <c r="G380" s="21"/>
      <c r="H380" s="22"/>
      <c r="I380" s="23"/>
      <c r="J380" s="23"/>
      <c r="K380" s="21"/>
    </row>
    <row r="381" spans="2:11" x14ac:dyDescent="0.35">
      <c r="B381" s="29"/>
      <c r="C381" s="27"/>
      <c r="D381" s="27"/>
      <c r="G381" s="21"/>
      <c r="H381" s="22"/>
      <c r="I381" s="23"/>
      <c r="J381" s="23"/>
      <c r="K381" s="21"/>
    </row>
    <row r="382" spans="2:11" x14ac:dyDescent="0.35">
      <c r="B382" s="29"/>
      <c r="C382" s="27"/>
      <c r="D382" s="27"/>
      <c r="G382" s="21"/>
      <c r="H382" s="22"/>
      <c r="I382" s="23"/>
      <c r="J382" s="23"/>
      <c r="K382" s="21"/>
    </row>
    <row r="383" spans="2:11" x14ac:dyDescent="0.35">
      <c r="B383" s="2" t="s">
        <v>838</v>
      </c>
      <c r="G383" s="21"/>
      <c r="H383" s="22"/>
      <c r="I383" s="23"/>
      <c r="J383" s="21"/>
      <c r="K383" s="21"/>
    </row>
    <row r="384" spans="2:11" ht="16" thickBot="1" x14ac:dyDescent="0.4">
      <c r="C384" s="88" t="s">
        <v>2</v>
      </c>
      <c r="G384" s="21"/>
      <c r="H384" s="22"/>
      <c r="I384" s="23"/>
      <c r="J384" s="21"/>
      <c r="K384" s="21"/>
    </row>
    <row r="385" spans="2:11" x14ac:dyDescent="0.35">
      <c r="B385" s="29" t="s">
        <v>559</v>
      </c>
      <c r="C385" s="89">
        <v>93.99</v>
      </c>
      <c r="D385" s="27" t="s">
        <v>73</v>
      </c>
      <c r="G385" s="21"/>
      <c r="H385" s="22"/>
      <c r="I385" s="23"/>
      <c r="J385" s="21"/>
      <c r="K385" s="21"/>
    </row>
    <row r="386" spans="2:11" x14ac:dyDescent="0.35">
      <c r="B386" s="29" t="s">
        <v>560</v>
      </c>
      <c r="C386" s="135">
        <v>1116.2</v>
      </c>
      <c r="D386" s="27" t="s">
        <v>73</v>
      </c>
      <c r="G386" s="21"/>
      <c r="H386" s="22"/>
      <c r="I386" s="23"/>
      <c r="J386" s="21"/>
      <c r="K386" s="21"/>
    </row>
    <row r="387" spans="2:11" x14ac:dyDescent="0.35">
      <c r="B387" s="29" t="s">
        <v>561</v>
      </c>
      <c r="C387" s="198">
        <v>0.1749</v>
      </c>
      <c r="D387" s="27" t="s">
        <v>407</v>
      </c>
      <c r="G387" s="21"/>
      <c r="H387" s="22"/>
      <c r="I387" s="23"/>
      <c r="J387" s="21"/>
      <c r="K387" s="21"/>
    </row>
    <row r="388" spans="2:11" ht="16" thickBot="1" x14ac:dyDescent="0.4">
      <c r="B388" s="29" t="s">
        <v>562</v>
      </c>
      <c r="C388" s="199">
        <v>1.92</v>
      </c>
      <c r="D388" s="27" t="s">
        <v>407</v>
      </c>
      <c r="G388" s="21"/>
      <c r="H388" s="22"/>
      <c r="I388" s="23"/>
      <c r="J388" s="21"/>
      <c r="K388" s="47"/>
    </row>
    <row r="389" spans="2:11" x14ac:dyDescent="0.35">
      <c r="B389" s="29"/>
      <c r="C389" s="27"/>
      <c r="D389" s="27"/>
      <c r="G389" s="21"/>
      <c r="H389" s="22"/>
      <c r="I389" s="23"/>
      <c r="J389" s="21"/>
      <c r="K389" s="21"/>
    </row>
    <row r="390" spans="2:11" x14ac:dyDescent="0.35">
      <c r="B390" s="29"/>
      <c r="C390" s="88" t="s">
        <v>3</v>
      </c>
      <c r="G390" s="21"/>
      <c r="H390" s="22"/>
      <c r="I390" s="23"/>
      <c r="J390" s="21"/>
      <c r="K390" s="21"/>
    </row>
    <row r="391" spans="2:11" x14ac:dyDescent="0.35">
      <c r="B391" s="86" t="s">
        <v>555</v>
      </c>
      <c r="C391" s="4">
        <f>C324</f>
        <v>1.7159</v>
      </c>
      <c r="D391" s="4" t="s">
        <v>407</v>
      </c>
      <c r="G391" s="21"/>
      <c r="H391" s="22"/>
      <c r="I391" s="23"/>
      <c r="J391" s="21"/>
      <c r="K391" s="21"/>
    </row>
    <row r="392" spans="2:11" x14ac:dyDescent="0.35">
      <c r="B392" s="86" t="s">
        <v>563</v>
      </c>
      <c r="C392" s="2" t="s">
        <v>564</v>
      </c>
      <c r="G392" s="21"/>
      <c r="H392" s="22"/>
      <c r="I392" s="23"/>
      <c r="J392" s="21"/>
      <c r="K392" s="21"/>
    </row>
    <row r="393" spans="2:11" x14ac:dyDescent="0.35">
      <c r="B393" s="86" t="s">
        <v>565</v>
      </c>
      <c r="C393" s="137">
        <f>C387</f>
        <v>0.1749</v>
      </c>
      <c r="E393" s="2"/>
      <c r="G393" s="21"/>
      <c r="H393" s="22"/>
      <c r="I393" s="23"/>
      <c r="J393" s="21"/>
      <c r="K393" s="47"/>
    </row>
    <row r="394" spans="2:11" x14ac:dyDescent="0.35">
      <c r="B394" s="86" t="s">
        <v>566</v>
      </c>
      <c r="C394" s="137">
        <v>1.92</v>
      </c>
      <c r="D394" s="4" t="s">
        <v>407</v>
      </c>
      <c r="G394" s="21"/>
      <c r="H394" s="22"/>
      <c r="I394" s="23"/>
      <c r="J394" s="21"/>
      <c r="K394" s="47"/>
    </row>
    <row r="395" spans="2:11" x14ac:dyDescent="0.35">
      <c r="B395" s="152" t="s">
        <v>787</v>
      </c>
      <c r="C395" s="2" t="s">
        <v>567</v>
      </c>
      <c r="E395" s="2"/>
      <c r="G395" s="21"/>
      <c r="H395" s="22"/>
      <c r="I395" s="23"/>
      <c r="J395" s="21"/>
      <c r="K395" s="47"/>
    </row>
    <row r="396" spans="2:11" x14ac:dyDescent="0.35">
      <c r="B396" s="37" t="s">
        <v>4</v>
      </c>
      <c r="C396" s="137">
        <f>C394-C393</f>
        <v>1.7450999999999999</v>
      </c>
      <c r="D396" s="4" t="s">
        <v>407</v>
      </c>
      <c r="E396" s="2"/>
      <c r="G396" s="21"/>
      <c r="H396" s="22"/>
      <c r="I396" s="23"/>
      <c r="J396" s="21"/>
      <c r="K396" s="21"/>
    </row>
    <row r="397" spans="2:11" x14ac:dyDescent="0.35">
      <c r="B397" s="86" t="s">
        <v>556</v>
      </c>
      <c r="C397" s="4" t="s">
        <v>803</v>
      </c>
      <c r="D397" s="2"/>
      <c r="G397" s="21"/>
      <c r="H397" s="22"/>
      <c r="I397" s="23"/>
      <c r="J397" s="21"/>
      <c r="K397" s="21"/>
    </row>
    <row r="398" spans="2:11" x14ac:dyDescent="0.35">
      <c r="B398" s="86" t="s">
        <v>4</v>
      </c>
      <c r="C398" s="137">
        <f>(C355-C393) / C396</f>
        <v>0.96705059881955191</v>
      </c>
      <c r="D398" s="2"/>
      <c r="G398" s="21"/>
      <c r="H398" s="22"/>
      <c r="I398" s="23"/>
      <c r="J398" s="21"/>
      <c r="K398" s="21"/>
    </row>
    <row r="399" spans="2:11" x14ac:dyDescent="0.35">
      <c r="B399" s="86" t="s">
        <v>568</v>
      </c>
      <c r="C399" s="4">
        <f>C385</f>
        <v>93.99</v>
      </c>
      <c r="G399" s="21"/>
      <c r="H399" s="22"/>
      <c r="I399" s="23"/>
      <c r="J399" s="21"/>
      <c r="K399" s="21"/>
    </row>
    <row r="400" spans="2:11" x14ac:dyDescent="0.35">
      <c r="B400" s="86" t="s">
        <v>569</v>
      </c>
      <c r="C400" s="4">
        <f>C386</f>
        <v>1116.2</v>
      </c>
      <c r="G400" s="21"/>
      <c r="H400" s="22"/>
      <c r="I400" s="23"/>
      <c r="J400" s="21"/>
      <c r="K400" s="21"/>
    </row>
    <row r="401" spans="2:11" x14ac:dyDescent="0.35">
      <c r="B401" s="152" t="s">
        <v>788</v>
      </c>
      <c r="C401" s="2" t="s">
        <v>570</v>
      </c>
      <c r="G401" s="21"/>
      <c r="H401" s="22"/>
      <c r="I401" s="23"/>
      <c r="J401" s="21"/>
      <c r="K401" s="21"/>
    </row>
    <row r="402" spans="2:11" x14ac:dyDescent="0.35">
      <c r="B402" s="37" t="s">
        <v>4</v>
      </c>
      <c r="C402" s="4">
        <f>C400-C399</f>
        <v>1022.21</v>
      </c>
      <c r="G402" s="21"/>
      <c r="H402" s="22"/>
      <c r="I402" s="23"/>
      <c r="J402" s="21"/>
      <c r="K402" s="21"/>
    </row>
    <row r="403" spans="2:11" x14ac:dyDescent="0.35">
      <c r="B403" s="86" t="s">
        <v>571</v>
      </c>
      <c r="C403" s="2" t="s">
        <v>572</v>
      </c>
      <c r="G403" s="21"/>
      <c r="H403" s="22"/>
      <c r="I403" s="23"/>
      <c r="J403" s="21"/>
      <c r="K403" s="21"/>
    </row>
    <row r="404" spans="2:11" x14ac:dyDescent="0.35">
      <c r="B404" s="86" t="s">
        <v>4</v>
      </c>
      <c r="C404" s="93">
        <f>C399+(C398*C402)</f>
        <v>1082.5187926193341</v>
      </c>
      <c r="D404" s="2"/>
      <c r="G404" s="21"/>
      <c r="H404" s="22"/>
      <c r="I404" s="23"/>
      <c r="J404" s="21"/>
      <c r="K404" s="21"/>
    </row>
    <row r="405" spans="2:11" x14ac:dyDescent="0.35">
      <c r="C405" s="29"/>
      <c r="D405" s="27"/>
      <c r="G405" s="21"/>
      <c r="H405" s="22"/>
      <c r="I405" s="23"/>
      <c r="J405" s="21"/>
      <c r="K405" s="21"/>
    </row>
    <row r="406" spans="2:11" x14ac:dyDescent="0.35">
      <c r="C406" s="29"/>
      <c r="D406" s="27"/>
      <c r="G406" s="21"/>
      <c r="H406" s="22"/>
      <c r="I406" s="23"/>
      <c r="J406" s="21"/>
      <c r="K406" s="21"/>
    </row>
    <row r="407" spans="2:11" x14ac:dyDescent="0.35">
      <c r="C407" s="29"/>
      <c r="D407" s="27"/>
      <c r="G407" s="21"/>
      <c r="H407" s="22"/>
      <c r="I407" s="23"/>
      <c r="J407" s="21"/>
      <c r="K407" s="21"/>
    </row>
    <row r="408" spans="2:11" x14ac:dyDescent="0.35">
      <c r="C408" s="29"/>
      <c r="D408" s="27"/>
      <c r="G408" s="21"/>
      <c r="H408" s="22"/>
      <c r="I408" s="23"/>
      <c r="J408" s="21"/>
      <c r="K408" s="21"/>
    </row>
    <row r="409" spans="2:11" x14ac:dyDescent="0.35">
      <c r="C409" s="29"/>
      <c r="D409" s="27"/>
      <c r="G409" s="21"/>
      <c r="H409" s="22"/>
      <c r="I409" s="23"/>
      <c r="J409" s="21"/>
      <c r="K409" s="21"/>
    </row>
    <row r="410" spans="2:11" x14ac:dyDescent="0.35">
      <c r="C410" s="29"/>
      <c r="D410" s="27"/>
      <c r="G410" s="21"/>
      <c r="H410" s="22"/>
      <c r="I410" s="23"/>
      <c r="J410" s="21"/>
      <c r="K410" s="21"/>
    </row>
    <row r="411" spans="2:11" x14ac:dyDescent="0.35">
      <c r="C411" s="29"/>
      <c r="D411" s="27"/>
      <c r="G411" s="21"/>
      <c r="H411" s="22"/>
      <c r="I411" s="23"/>
      <c r="J411" s="21"/>
      <c r="K411" s="21"/>
    </row>
    <row r="412" spans="2:11" x14ac:dyDescent="0.35">
      <c r="C412" s="29"/>
      <c r="D412" s="27"/>
      <c r="G412" s="21"/>
      <c r="H412" s="22"/>
      <c r="I412" s="23"/>
      <c r="J412" s="21"/>
      <c r="K412" s="21"/>
    </row>
    <row r="413" spans="2:11" x14ac:dyDescent="0.35">
      <c r="C413" s="29"/>
      <c r="D413" s="27"/>
      <c r="G413" s="21"/>
      <c r="H413" s="22"/>
      <c r="I413" s="23"/>
      <c r="J413" s="21"/>
      <c r="K413" s="21"/>
    </row>
    <row r="414" spans="2:11" x14ac:dyDescent="0.35">
      <c r="C414" s="29"/>
      <c r="D414" s="27"/>
      <c r="G414" s="21"/>
      <c r="H414" s="22"/>
      <c r="I414" s="23"/>
      <c r="J414" s="21"/>
      <c r="K414" s="21"/>
    </row>
    <row r="415" spans="2:11" x14ac:dyDescent="0.35">
      <c r="C415" s="29"/>
      <c r="D415" s="27"/>
      <c r="G415" s="21"/>
      <c r="H415" s="22"/>
      <c r="I415" s="23"/>
      <c r="J415" s="21"/>
      <c r="K415" s="21"/>
    </row>
    <row r="416" spans="2:11" x14ac:dyDescent="0.35">
      <c r="C416" s="29"/>
      <c r="D416" s="27"/>
      <c r="G416" s="21"/>
      <c r="H416" s="22"/>
      <c r="I416" s="23"/>
      <c r="J416" s="21"/>
      <c r="K416" s="21"/>
    </row>
    <row r="417" spans="3:11" x14ac:dyDescent="0.35">
      <c r="C417" s="29"/>
      <c r="D417" s="27"/>
      <c r="G417" s="21"/>
      <c r="H417" s="22"/>
      <c r="I417" s="23"/>
      <c r="J417" s="21"/>
      <c r="K417" s="21"/>
    </row>
    <row r="418" spans="3:11" x14ac:dyDescent="0.35">
      <c r="C418" s="29"/>
      <c r="D418" s="27"/>
      <c r="G418" s="21"/>
      <c r="H418" s="22"/>
      <c r="I418" s="23"/>
      <c r="J418" s="21"/>
      <c r="K418" s="21"/>
    </row>
    <row r="419" spans="3:11" x14ac:dyDescent="0.35">
      <c r="C419" s="29"/>
      <c r="D419" s="27"/>
      <c r="G419" s="21"/>
      <c r="H419" s="22"/>
      <c r="I419" s="23"/>
      <c r="J419" s="21"/>
      <c r="K419" s="21"/>
    </row>
    <row r="420" spans="3:11" x14ac:dyDescent="0.35">
      <c r="C420" s="29"/>
      <c r="D420" s="27"/>
      <c r="G420" s="21"/>
      <c r="H420" s="22"/>
      <c r="I420" s="23"/>
      <c r="J420" s="21"/>
      <c r="K420" s="21"/>
    </row>
    <row r="421" spans="3:11" x14ac:dyDescent="0.35">
      <c r="C421" s="29"/>
      <c r="D421" s="27"/>
      <c r="G421" s="21"/>
      <c r="H421" s="22"/>
      <c r="I421" s="23"/>
      <c r="J421" s="21"/>
      <c r="K421" s="21"/>
    </row>
    <row r="422" spans="3:11" x14ac:dyDescent="0.35">
      <c r="C422" s="29"/>
      <c r="D422" s="27"/>
      <c r="G422" s="21"/>
      <c r="H422" s="22"/>
      <c r="I422" s="23"/>
      <c r="J422" s="21"/>
      <c r="K422" s="21"/>
    </row>
    <row r="423" spans="3:11" x14ac:dyDescent="0.35">
      <c r="C423" s="29"/>
      <c r="D423" s="27"/>
      <c r="G423" s="21"/>
      <c r="H423" s="22"/>
      <c r="I423" s="23"/>
      <c r="J423" s="21"/>
      <c r="K423" s="21"/>
    </row>
    <row r="424" spans="3:11" x14ac:dyDescent="0.35">
      <c r="C424" s="29"/>
      <c r="D424" s="27"/>
      <c r="G424" s="21"/>
      <c r="H424" s="22"/>
      <c r="I424" s="23"/>
      <c r="J424" s="21"/>
      <c r="K424" s="21"/>
    </row>
    <row r="425" spans="3:11" x14ac:dyDescent="0.35">
      <c r="C425" s="29"/>
      <c r="D425" s="27"/>
      <c r="G425" s="21"/>
      <c r="H425" s="22"/>
      <c r="I425" s="23"/>
      <c r="J425" s="21"/>
      <c r="K425" s="21"/>
    </row>
    <row r="426" spans="3:11" x14ac:dyDescent="0.35">
      <c r="C426" s="29"/>
      <c r="D426" s="27"/>
      <c r="G426" s="21"/>
      <c r="H426" s="22"/>
      <c r="I426" s="23"/>
      <c r="J426" s="21"/>
      <c r="K426" s="21"/>
    </row>
    <row r="427" spans="3:11" x14ac:dyDescent="0.35">
      <c r="C427" s="29"/>
      <c r="D427" s="27"/>
      <c r="G427" s="21"/>
      <c r="H427" s="22"/>
      <c r="I427" s="23"/>
      <c r="J427" s="21"/>
      <c r="K427" s="21"/>
    </row>
    <row r="428" spans="3:11" x14ac:dyDescent="0.35">
      <c r="C428" s="29"/>
      <c r="D428" s="27"/>
      <c r="G428" s="21"/>
      <c r="H428" s="22"/>
      <c r="I428" s="23"/>
      <c r="J428" s="21"/>
      <c r="K428" s="21"/>
    </row>
    <row r="429" spans="3:11" x14ac:dyDescent="0.35">
      <c r="C429" s="29"/>
      <c r="D429" s="27"/>
      <c r="G429" s="21"/>
      <c r="H429" s="22"/>
      <c r="I429" s="23"/>
      <c r="J429" s="21"/>
      <c r="K429" s="21"/>
    </row>
    <row r="430" spans="3:11" x14ac:dyDescent="0.35">
      <c r="C430" s="29"/>
      <c r="D430" s="27"/>
      <c r="G430" s="21"/>
      <c r="H430" s="22"/>
      <c r="I430" s="23"/>
      <c r="J430" s="21"/>
      <c r="K430" s="21"/>
    </row>
    <row r="431" spans="3:11" x14ac:dyDescent="0.35">
      <c r="C431" s="29"/>
      <c r="D431" s="27"/>
      <c r="G431" s="21"/>
      <c r="H431" s="22"/>
      <c r="I431" s="23"/>
      <c r="J431" s="21"/>
      <c r="K431" s="21"/>
    </row>
    <row r="432" spans="3:11" x14ac:dyDescent="0.35">
      <c r="C432" s="86" t="s">
        <v>578</v>
      </c>
      <c r="D432" s="137">
        <v>0.3921</v>
      </c>
      <c r="F432" s="27"/>
      <c r="G432" s="21"/>
      <c r="H432" s="22"/>
      <c r="I432" s="23"/>
      <c r="J432" s="21"/>
      <c r="K432" s="21"/>
    </row>
    <row r="433" spans="2:11" x14ac:dyDescent="0.35">
      <c r="C433" s="86" t="s">
        <v>579</v>
      </c>
      <c r="D433" s="137">
        <v>1.6765000000000001</v>
      </c>
      <c r="E433" s="4" t="s">
        <v>407</v>
      </c>
      <c r="F433" s="27"/>
      <c r="G433" s="21"/>
      <c r="H433" s="22"/>
      <c r="I433" s="23"/>
      <c r="J433" s="21"/>
      <c r="K433" s="21"/>
    </row>
    <row r="434" spans="2:11" x14ac:dyDescent="0.35">
      <c r="C434" s="152" t="s">
        <v>787</v>
      </c>
      <c r="D434" s="2" t="s">
        <v>580</v>
      </c>
      <c r="F434" s="27"/>
      <c r="G434" s="21"/>
      <c r="H434" s="22"/>
      <c r="I434" s="23"/>
      <c r="J434" s="21"/>
      <c r="K434" s="21"/>
    </row>
    <row r="435" spans="2:11" x14ac:dyDescent="0.35">
      <c r="C435" s="37" t="s">
        <v>4</v>
      </c>
      <c r="D435" s="137">
        <f>D433 - D432</f>
        <v>1.2844000000000002</v>
      </c>
      <c r="E435" s="4" t="s">
        <v>407</v>
      </c>
      <c r="F435" s="27"/>
      <c r="G435" s="21"/>
      <c r="H435" s="22"/>
      <c r="I435" s="23"/>
      <c r="J435" s="21"/>
      <c r="K435" s="21"/>
    </row>
    <row r="436" spans="2:11" x14ac:dyDescent="0.35">
      <c r="C436" s="86" t="s">
        <v>581</v>
      </c>
      <c r="D436" s="4" t="s">
        <v>582</v>
      </c>
      <c r="E436" s="2"/>
      <c r="F436" s="27"/>
      <c r="G436" s="21"/>
      <c r="H436" s="22"/>
      <c r="I436" s="23"/>
      <c r="J436" s="21"/>
      <c r="K436" s="21"/>
    </row>
    <row r="437" spans="2:11" x14ac:dyDescent="0.35">
      <c r="C437" s="86" t="s">
        <v>4</v>
      </c>
      <c r="D437" s="137">
        <f>(C391- D432)/D435</f>
        <v>1.0306758019308624</v>
      </c>
      <c r="E437" s="2" t="s">
        <v>583</v>
      </c>
      <c r="F437" s="27"/>
      <c r="G437" s="21"/>
      <c r="H437" s="22"/>
      <c r="I437" s="23"/>
      <c r="J437" s="21"/>
      <c r="K437" s="21"/>
    </row>
    <row r="438" spans="2:11" x14ac:dyDescent="0.35">
      <c r="C438" s="86" t="s">
        <v>573</v>
      </c>
      <c r="D438" s="4">
        <v>236.14</v>
      </c>
      <c r="E438" s="27"/>
      <c r="F438" s="27"/>
      <c r="G438" s="21"/>
      <c r="H438" s="22"/>
      <c r="I438" s="23"/>
      <c r="J438" s="21"/>
      <c r="K438" s="21"/>
    </row>
    <row r="439" spans="2:11" x14ac:dyDescent="0.35">
      <c r="C439" s="86" t="s">
        <v>574</v>
      </c>
      <c r="D439" s="4">
        <v>1169.8</v>
      </c>
      <c r="E439" s="27"/>
      <c r="F439" s="27"/>
      <c r="G439" s="21"/>
      <c r="H439" s="22"/>
      <c r="I439" s="23"/>
      <c r="J439" s="21"/>
      <c r="K439" s="21"/>
    </row>
    <row r="440" spans="2:11" x14ac:dyDescent="0.35">
      <c r="C440" s="152" t="s">
        <v>788</v>
      </c>
      <c r="D440" s="2" t="s">
        <v>575</v>
      </c>
      <c r="E440" s="27"/>
      <c r="F440" s="27"/>
      <c r="G440" s="21"/>
      <c r="H440" s="22"/>
      <c r="I440" s="23"/>
      <c r="J440" s="21"/>
      <c r="K440" s="21"/>
    </row>
    <row r="441" spans="2:11" x14ac:dyDescent="0.35">
      <c r="C441" s="37" t="s">
        <v>4</v>
      </c>
      <c r="D441" s="138">
        <f>D439-D438</f>
        <v>933.66</v>
      </c>
      <c r="E441" s="27"/>
      <c r="F441" s="27"/>
      <c r="G441" s="21"/>
      <c r="H441" s="22"/>
      <c r="I441" s="23"/>
      <c r="J441" s="21"/>
      <c r="K441" s="21"/>
    </row>
    <row r="442" spans="2:11" x14ac:dyDescent="0.35">
      <c r="C442" s="86" t="s">
        <v>576</v>
      </c>
      <c r="D442" s="2" t="s">
        <v>577</v>
      </c>
      <c r="E442" s="27"/>
      <c r="F442" s="27"/>
      <c r="G442" s="21"/>
      <c r="H442" s="22"/>
      <c r="I442" s="23"/>
      <c r="J442" s="21"/>
      <c r="K442" s="21"/>
    </row>
    <row r="443" spans="2:11" x14ac:dyDescent="0.35">
      <c r="C443" s="86" t="s">
        <v>4</v>
      </c>
      <c r="D443" s="93">
        <f>D438+(D437*D441)</f>
        <v>1198.4407692307691</v>
      </c>
      <c r="E443" s="4" t="s">
        <v>73</v>
      </c>
      <c r="F443" s="27"/>
      <c r="G443" s="21"/>
      <c r="H443" s="22"/>
      <c r="I443" s="23"/>
      <c r="J443" s="21"/>
      <c r="K443" s="21"/>
    </row>
    <row r="444" spans="2:11" ht="18" x14ac:dyDescent="0.4">
      <c r="B444" s="3" t="s">
        <v>804</v>
      </c>
      <c r="C444" s="29"/>
      <c r="D444" s="27"/>
      <c r="E444" s="27"/>
      <c r="F444" s="27"/>
      <c r="G444" s="21"/>
      <c r="H444" s="22"/>
      <c r="I444" s="23"/>
      <c r="J444" s="21"/>
      <c r="K444" s="21"/>
    </row>
    <row r="445" spans="2:11" x14ac:dyDescent="0.35">
      <c r="C445" s="86" t="s">
        <v>545</v>
      </c>
      <c r="D445" s="2" t="s">
        <v>557</v>
      </c>
      <c r="E445" s="2"/>
      <c r="F445" s="27"/>
      <c r="G445" s="21"/>
      <c r="H445" s="22"/>
      <c r="I445" s="23"/>
      <c r="J445" s="21"/>
      <c r="K445" s="21"/>
    </row>
    <row r="446" spans="2:11" x14ac:dyDescent="0.35">
      <c r="C446" s="86" t="s">
        <v>4</v>
      </c>
      <c r="D446" s="93">
        <f>(C354 - D443) + (C323 - C385)</f>
        <v>1559.1692307692308</v>
      </c>
      <c r="E446" s="2"/>
      <c r="F446" s="27"/>
      <c r="G446" s="21"/>
      <c r="H446" s="22"/>
      <c r="I446" s="23"/>
      <c r="J446" s="21"/>
      <c r="K446" s="21"/>
    </row>
    <row r="447" spans="2:11" x14ac:dyDescent="0.35">
      <c r="C447" s="86" t="s">
        <v>546</v>
      </c>
      <c r="D447" s="2" t="s">
        <v>558</v>
      </c>
      <c r="E447" s="2"/>
      <c r="F447" s="27"/>
      <c r="G447" s="21"/>
      <c r="H447" s="22"/>
      <c r="I447" s="23"/>
      <c r="J447" s="21"/>
      <c r="K447" s="21"/>
    </row>
    <row r="448" spans="2:11" x14ac:dyDescent="0.35">
      <c r="C448" s="86" t="s">
        <v>4</v>
      </c>
      <c r="D448" s="93">
        <f>(C354 - C404) + (C323 - D443)</f>
        <v>570.64043814989668</v>
      </c>
      <c r="E448" s="4"/>
      <c r="F448" s="27"/>
      <c r="G448" s="21"/>
      <c r="H448" s="22"/>
      <c r="I448" s="23"/>
      <c r="J448" s="21"/>
      <c r="K448" s="21"/>
    </row>
    <row r="449" spans="2:11" x14ac:dyDescent="0.35">
      <c r="C449" s="86" t="s">
        <v>800</v>
      </c>
      <c r="D449" s="4" t="s">
        <v>584</v>
      </c>
      <c r="E449" s="2"/>
      <c r="G449" s="21"/>
      <c r="H449" s="22"/>
      <c r="I449" s="23"/>
      <c r="J449" s="21"/>
      <c r="K449" s="21"/>
    </row>
    <row r="450" spans="2:11" x14ac:dyDescent="0.35">
      <c r="C450" s="86" t="s">
        <v>4</v>
      </c>
      <c r="D450" s="210">
        <f>D448/D446</f>
        <v>0.3659900586085616</v>
      </c>
      <c r="E450" s="2"/>
      <c r="G450" s="21"/>
      <c r="H450" s="22"/>
      <c r="I450" s="23"/>
      <c r="J450" s="21"/>
      <c r="K450" s="21"/>
    </row>
    <row r="451" spans="2:11" x14ac:dyDescent="0.35">
      <c r="B451" s="29"/>
      <c r="C451" s="27"/>
      <c r="D451" s="27"/>
      <c r="E451" s="27"/>
      <c r="G451" s="21"/>
      <c r="H451" s="22"/>
      <c r="I451" s="23"/>
      <c r="J451" s="21"/>
      <c r="K451" s="21"/>
    </row>
    <row r="452" spans="2:11" x14ac:dyDescent="0.35">
      <c r="B452" s="29"/>
      <c r="C452" s="27"/>
      <c r="D452" s="27"/>
      <c r="E452" s="27"/>
      <c r="G452" s="21"/>
      <c r="H452" s="22"/>
      <c r="I452" s="23"/>
      <c r="J452" s="21"/>
      <c r="K452" s="21"/>
    </row>
    <row r="453" spans="2:11" x14ac:dyDescent="0.35">
      <c r="B453" s="29"/>
      <c r="C453" s="27"/>
      <c r="D453" s="27"/>
      <c r="E453" s="27"/>
      <c r="G453" s="21"/>
      <c r="H453" s="22"/>
      <c r="I453" s="23"/>
      <c r="J453" s="21"/>
      <c r="K453" s="21"/>
    </row>
    <row r="454" spans="2:11" x14ac:dyDescent="0.35">
      <c r="B454" s="29"/>
      <c r="C454" s="27"/>
      <c r="D454" s="27"/>
      <c r="E454" s="27"/>
      <c r="G454" s="21"/>
      <c r="H454" s="22"/>
      <c r="I454" s="23"/>
      <c r="J454" s="21"/>
      <c r="K454" s="21"/>
    </row>
    <row r="455" spans="2:11" x14ac:dyDescent="0.35">
      <c r="B455" s="29"/>
      <c r="C455" s="27"/>
      <c r="D455" s="27"/>
      <c r="E455" s="27"/>
      <c r="G455" s="21"/>
      <c r="H455" s="22"/>
      <c r="I455" s="23"/>
      <c r="J455" s="21"/>
      <c r="K455" s="21"/>
    </row>
    <row r="456" spans="2:11" x14ac:dyDescent="0.35">
      <c r="B456" s="29"/>
      <c r="C456" s="27"/>
      <c r="D456" s="27"/>
      <c r="E456" s="27"/>
      <c r="G456" s="21"/>
      <c r="H456" s="22"/>
      <c r="I456" s="23"/>
      <c r="J456" s="21"/>
      <c r="K456" s="21"/>
    </row>
    <row r="457" spans="2:11" x14ac:dyDescent="0.35">
      <c r="B457" s="29"/>
      <c r="C457" s="27"/>
      <c r="D457" s="27"/>
      <c r="E457" s="27"/>
      <c r="G457" s="21"/>
      <c r="H457" s="22"/>
      <c r="I457" s="23"/>
      <c r="J457" s="21"/>
      <c r="K457" s="21"/>
    </row>
    <row r="458" spans="2:11" x14ac:dyDescent="0.35">
      <c r="B458" s="29"/>
      <c r="C458" s="27"/>
      <c r="D458" s="27"/>
      <c r="E458" s="27"/>
      <c r="G458" s="21"/>
      <c r="H458" s="22"/>
      <c r="I458" s="23"/>
      <c r="J458" s="21"/>
      <c r="K458" s="21"/>
    </row>
    <row r="459" spans="2:11" x14ac:dyDescent="0.35">
      <c r="B459" s="29"/>
      <c r="C459" s="27"/>
      <c r="D459" s="27"/>
      <c r="E459" s="27"/>
      <c r="G459" s="21"/>
      <c r="H459" s="22"/>
      <c r="I459" s="23"/>
      <c r="J459" s="21"/>
      <c r="K459" s="21"/>
    </row>
    <row r="460" spans="2:11" x14ac:dyDescent="0.35">
      <c r="B460" s="29"/>
      <c r="C460" s="27"/>
      <c r="D460" s="27"/>
      <c r="E460" s="27"/>
      <c r="G460" s="21"/>
      <c r="H460" s="22"/>
      <c r="I460" s="23"/>
      <c r="J460" s="21"/>
      <c r="K460" s="21"/>
    </row>
    <row r="461" spans="2:11" x14ac:dyDescent="0.35">
      <c r="B461" s="29"/>
      <c r="C461" s="27"/>
      <c r="D461" s="27"/>
      <c r="E461" s="27"/>
      <c r="G461" s="21"/>
      <c r="H461" s="22"/>
      <c r="I461" s="23"/>
      <c r="J461" s="21"/>
      <c r="K461" s="21"/>
    </row>
    <row r="462" spans="2:11" x14ac:dyDescent="0.35">
      <c r="B462" s="29"/>
      <c r="C462" s="27"/>
      <c r="D462" s="27"/>
      <c r="E462" s="27"/>
      <c r="G462" s="21"/>
      <c r="H462" s="22"/>
      <c r="I462" s="23"/>
      <c r="J462" s="21"/>
      <c r="K462" s="21"/>
    </row>
    <row r="463" spans="2:11" x14ac:dyDescent="0.35">
      <c r="B463" s="29"/>
      <c r="C463" s="27"/>
      <c r="D463" s="27"/>
      <c r="E463" s="27"/>
      <c r="G463" s="21"/>
      <c r="H463" s="22"/>
      <c r="I463" s="23"/>
      <c r="J463" s="21"/>
      <c r="K463" s="21"/>
    </row>
    <row r="464" spans="2:11" x14ac:dyDescent="0.35">
      <c r="B464" s="29"/>
      <c r="C464" s="27"/>
      <c r="D464" s="27"/>
      <c r="E464" s="27"/>
      <c r="G464" s="21"/>
      <c r="H464" s="22"/>
      <c r="I464" s="23"/>
      <c r="J464" s="21"/>
      <c r="K464" s="21"/>
    </row>
    <row r="465" spans="2:11" x14ac:dyDescent="0.35">
      <c r="B465" s="29"/>
      <c r="C465" s="27"/>
      <c r="D465" s="27"/>
      <c r="E465" s="27"/>
      <c r="G465" s="21"/>
      <c r="H465" s="22"/>
      <c r="I465" s="23"/>
      <c r="J465" s="21"/>
      <c r="K465" s="21"/>
    </row>
    <row r="466" spans="2:11" x14ac:dyDescent="0.35">
      <c r="B466" s="29"/>
      <c r="C466" s="27"/>
      <c r="D466" s="27"/>
      <c r="E466" s="27"/>
      <c r="G466" s="21"/>
      <c r="H466" s="22"/>
      <c r="I466" s="23"/>
      <c r="J466" s="21"/>
      <c r="K466" s="21"/>
    </row>
    <row r="467" spans="2:11" x14ac:dyDescent="0.35">
      <c r="B467" s="29"/>
      <c r="C467" s="27"/>
      <c r="D467" s="27"/>
      <c r="E467" s="27"/>
      <c r="G467" s="21"/>
      <c r="H467" s="22"/>
      <c r="I467" s="23"/>
      <c r="J467" s="21"/>
      <c r="K467" s="21"/>
    </row>
    <row r="468" spans="2:11" x14ac:dyDescent="0.35">
      <c r="B468" s="29"/>
      <c r="C468" s="27"/>
      <c r="D468" s="27"/>
      <c r="E468" s="27"/>
      <c r="G468" s="21"/>
      <c r="H468" s="22"/>
      <c r="I468" s="23"/>
      <c r="J468" s="21"/>
      <c r="K468" s="21"/>
    </row>
    <row r="469" spans="2:11" x14ac:dyDescent="0.35">
      <c r="B469" s="29"/>
      <c r="C469" s="27"/>
      <c r="D469" s="27"/>
      <c r="E469" s="27"/>
      <c r="G469" s="21"/>
      <c r="H469" s="22"/>
      <c r="I469" s="23"/>
      <c r="J469" s="21"/>
      <c r="K469" s="21"/>
    </row>
    <row r="470" spans="2:11" x14ac:dyDescent="0.35">
      <c r="B470" s="29"/>
      <c r="C470" s="27"/>
      <c r="D470" s="27"/>
      <c r="E470" s="27"/>
      <c r="G470" s="21"/>
      <c r="H470" s="22"/>
      <c r="I470" s="23"/>
      <c r="J470" s="21"/>
      <c r="K470" s="21"/>
    </row>
    <row r="471" spans="2:11" x14ac:dyDescent="0.35">
      <c r="B471" s="29"/>
      <c r="C471" s="27"/>
      <c r="D471" s="27"/>
      <c r="E471" s="27"/>
      <c r="G471" s="21"/>
      <c r="H471" s="22"/>
      <c r="I471" s="23"/>
      <c r="J471" s="21"/>
      <c r="K471" s="21"/>
    </row>
    <row r="472" spans="2:11" x14ac:dyDescent="0.35">
      <c r="B472" s="29"/>
      <c r="C472" s="27"/>
      <c r="D472" s="27"/>
      <c r="E472" s="27"/>
      <c r="G472" s="21"/>
      <c r="H472" s="22"/>
      <c r="I472" s="23"/>
      <c r="J472" s="21"/>
      <c r="K472" s="21"/>
    </row>
    <row r="473" spans="2:11" x14ac:dyDescent="0.35">
      <c r="B473" s="29"/>
      <c r="C473" s="27"/>
      <c r="D473" s="27"/>
      <c r="E473" s="27"/>
      <c r="G473" s="21"/>
      <c r="H473" s="22"/>
      <c r="I473" s="23"/>
      <c r="J473" s="21"/>
      <c r="K473" s="21"/>
    </row>
    <row r="474" spans="2:11" x14ac:dyDescent="0.35">
      <c r="B474" s="29"/>
      <c r="C474" s="27"/>
      <c r="D474" s="27"/>
      <c r="E474" s="27"/>
      <c r="G474" s="21"/>
      <c r="H474" s="22"/>
      <c r="I474" s="23"/>
      <c r="J474" s="21"/>
      <c r="K474" s="21"/>
    </row>
    <row r="475" spans="2:11" x14ac:dyDescent="0.35">
      <c r="B475" s="29"/>
      <c r="C475" s="27"/>
      <c r="D475" s="27"/>
      <c r="E475" s="27"/>
      <c r="G475" s="21"/>
      <c r="H475" s="22"/>
      <c r="I475" s="23"/>
      <c r="J475" s="21"/>
      <c r="K475" s="21"/>
    </row>
    <row r="476" spans="2:11" x14ac:dyDescent="0.35">
      <c r="B476" s="29"/>
      <c r="C476" s="27"/>
      <c r="D476" s="27"/>
      <c r="E476" s="27"/>
      <c r="G476" s="21"/>
      <c r="H476" s="22"/>
      <c r="I476" s="23"/>
      <c r="J476" s="21"/>
      <c r="K476" s="21"/>
    </row>
    <row r="477" spans="2:11" x14ac:dyDescent="0.35">
      <c r="B477" s="29"/>
      <c r="C477" s="27"/>
      <c r="D477" s="27"/>
      <c r="E477" s="27"/>
      <c r="G477" s="21"/>
      <c r="H477" s="22"/>
      <c r="I477" s="23"/>
      <c r="J477" s="21"/>
      <c r="K477" s="21"/>
    </row>
    <row r="478" spans="2:11" x14ac:dyDescent="0.35">
      <c r="B478" s="29"/>
      <c r="C478" s="27"/>
      <c r="D478" s="27"/>
      <c r="E478" s="27"/>
      <c r="G478" s="21"/>
      <c r="H478" s="22"/>
      <c r="I478" s="23"/>
      <c r="J478" s="21"/>
      <c r="K478" s="21"/>
    </row>
    <row r="479" spans="2:11" x14ac:dyDescent="0.35">
      <c r="B479" s="29"/>
      <c r="C479" s="27"/>
      <c r="D479" s="27"/>
      <c r="E479" s="27"/>
      <c r="G479" s="21"/>
      <c r="H479" s="22"/>
      <c r="I479" s="23"/>
      <c r="J479" s="21"/>
      <c r="K479" s="21"/>
    </row>
    <row r="480" spans="2:11" x14ac:dyDescent="0.35">
      <c r="B480" s="29"/>
      <c r="C480" s="27"/>
      <c r="D480" s="27"/>
      <c r="E480" s="27"/>
      <c r="G480" s="21"/>
      <c r="H480" s="22"/>
      <c r="I480" s="23"/>
      <c r="J480" s="21"/>
      <c r="K480" s="21"/>
    </row>
    <row r="481" spans="2:11" x14ac:dyDescent="0.35">
      <c r="B481" s="29"/>
      <c r="C481" s="27"/>
      <c r="D481" s="27"/>
      <c r="E481" s="27"/>
      <c r="G481" s="21"/>
      <c r="H481" s="22"/>
      <c r="I481" s="23"/>
      <c r="J481" s="21"/>
      <c r="K481" s="21"/>
    </row>
    <row r="482" spans="2:11" x14ac:dyDescent="0.35">
      <c r="B482" s="29"/>
      <c r="C482" s="27"/>
      <c r="D482" s="27"/>
      <c r="E482" s="27"/>
      <c r="G482" s="21"/>
      <c r="H482" s="22"/>
      <c r="I482" s="23"/>
      <c r="J482" s="21"/>
      <c r="K482" s="21"/>
    </row>
    <row r="483" spans="2:11" x14ac:dyDescent="0.35">
      <c r="B483" s="29"/>
      <c r="C483" s="27"/>
      <c r="D483" s="27"/>
      <c r="E483" s="27"/>
      <c r="G483" s="21"/>
      <c r="H483" s="22"/>
      <c r="I483" s="23"/>
      <c r="J483" s="21"/>
      <c r="K483" s="21"/>
    </row>
    <row r="484" spans="2:11" x14ac:dyDescent="0.35">
      <c r="B484" s="29"/>
      <c r="C484" s="27"/>
      <c r="D484" s="27"/>
      <c r="E484" s="27"/>
      <c r="G484" s="21"/>
      <c r="H484" s="22"/>
      <c r="I484" s="23"/>
      <c r="J484" s="21"/>
      <c r="K484" s="21"/>
    </row>
    <row r="485" spans="2:11" x14ac:dyDescent="0.35">
      <c r="B485" s="29"/>
      <c r="C485" s="27"/>
      <c r="D485" s="27"/>
      <c r="E485" s="27"/>
      <c r="G485" s="21"/>
      <c r="H485" s="22"/>
      <c r="I485" s="23"/>
      <c r="J485" s="21"/>
      <c r="K485" s="21"/>
    </row>
    <row r="486" spans="2:11" x14ac:dyDescent="0.35">
      <c r="B486" s="29"/>
      <c r="C486" s="27"/>
      <c r="D486" s="27"/>
      <c r="E486" s="27"/>
      <c r="G486" s="21"/>
      <c r="H486" s="22"/>
      <c r="I486" s="23"/>
      <c r="J486" s="21"/>
      <c r="K486" s="21"/>
    </row>
    <row r="487" spans="2:11" x14ac:dyDescent="0.35">
      <c r="B487" s="29"/>
      <c r="C487" s="27"/>
      <c r="D487" s="27"/>
      <c r="E487" s="27"/>
      <c r="G487" s="21"/>
      <c r="H487" s="22"/>
      <c r="I487" s="23"/>
      <c r="J487" s="21"/>
      <c r="K487" s="21"/>
    </row>
    <row r="488" spans="2:11" x14ac:dyDescent="0.35">
      <c r="B488" s="29"/>
      <c r="C488" s="27"/>
      <c r="D488" s="27"/>
      <c r="E488" s="27"/>
      <c r="G488" s="21"/>
      <c r="H488" s="22"/>
      <c r="I488" s="23"/>
      <c r="J488" s="21"/>
      <c r="K488" s="21"/>
    </row>
    <row r="489" spans="2:11" x14ac:dyDescent="0.35">
      <c r="B489" s="29"/>
      <c r="C489" s="27"/>
      <c r="D489" s="27"/>
      <c r="E489" s="27"/>
      <c r="G489" s="21"/>
      <c r="H489" s="22"/>
      <c r="I489" s="23"/>
      <c r="J489" s="21"/>
      <c r="K489" s="21"/>
    </row>
    <row r="490" spans="2:11" x14ac:dyDescent="0.35">
      <c r="B490" s="29"/>
      <c r="C490" s="27"/>
      <c r="D490" s="27"/>
      <c r="E490" s="27"/>
      <c r="G490" s="21"/>
      <c r="H490" s="22"/>
      <c r="I490" s="23"/>
      <c r="J490" s="21"/>
      <c r="K490" s="21"/>
    </row>
    <row r="491" spans="2:11" x14ac:dyDescent="0.35">
      <c r="B491" s="29"/>
      <c r="C491" s="27"/>
      <c r="D491" s="27"/>
      <c r="E491" s="27"/>
      <c r="G491" s="21"/>
      <c r="H491" s="22"/>
      <c r="I491" s="23"/>
      <c r="J491" s="21"/>
      <c r="K491" s="21"/>
    </row>
    <row r="492" spans="2:11" x14ac:dyDescent="0.35">
      <c r="B492" s="29"/>
      <c r="C492" s="27"/>
      <c r="D492" s="27"/>
      <c r="E492" s="27"/>
      <c r="G492" s="21"/>
      <c r="H492" s="22"/>
      <c r="I492" s="23"/>
      <c r="J492" s="21"/>
      <c r="K492" s="21"/>
    </row>
    <row r="493" spans="2:11" x14ac:dyDescent="0.35">
      <c r="B493" s="29"/>
      <c r="C493" s="27"/>
      <c r="D493" s="27"/>
      <c r="E493" s="27"/>
      <c r="G493" s="21"/>
      <c r="H493" s="22"/>
      <c r="I493" s="23"/>
      <c r="J493" s="21"/>
      <c r="K493" s="21"/>
    </row>
    <row r="494" spans="2:11" x14ac:dyDescent="0.35">
      <c r="B494" s="29"/>
      <c r="C494" s="27"/>
      <c r="D494" s="27"/>
      <c r="E494" s="27"/>
      <c r="G494" s="21"/>
      <c r="H494" s="22"/>
      <c r="I494" s="23"/>
      <c r="J494" s="21"/>
      <c r="K494" s="21"/>
    </row>
    <row r="495" spans="2:11" x14ac:dyDescent="0.35">
      <c r="B495" s="29"/>
      <c r="C495" s="27"/>
      <c r="D495" s="27"/>
      <c r="E495" s="27"/>
      <c r="G495" s="21"/>
      <c r="H495" s="22"/>
      <c r="I495" s="23"/>
      <c r="J495" s="21"/>
      <c r="K495" s="21"/>
    </row>
    <row r="496" spans="2:11" x14ac:dyDescent="0.35">
      <c r="B496" s="29"/>
      <c r="C496" s="27"/>
      <c r="D496" s="27"/>
      <c r="E496" s="27"/>
      <c r="G496" s="21"/>
      <c r="H496" s="22"/>
      <c r="I496" s="23"/>
      <c r="J496" s="21"/>
      <c r="K496" s="21"/>
    </row>
    <row r="497" spans="2:11" x14ac:dyDescent="0.35">
      <c r="B497" s="29"/>
      <c r="C497" s="27"/>
      <c r="D497" s="27"/>
      <c r="G497" s="21"/>
      <c r="H497" s="22"/>
      <c r="I497" s="23"/>
      <c r="J497" s="21"/>
      <c r="K497" s="21"/>
    </row>
    <row r="498" spans="2:11" x14ac:dyDescent="0.35">
      <c r="B498" s="29"/>
      <c r="C498" s="211"/>
      <c r="D498" s="27"/>
      <c r="G498" s="21"/>
      <c r="H498" s="22"/>
      <c r="I498" s="23"/>
      <c r="J498" s="21"/>
      <c r="K498" s="21"/>
    </row>
    <row r="499" spans="2:11" x14ac:dyDescent="0.35">
      <c r="B499" s="29"/>
      <c r="C499" s="20" t="s">
        <v>849</v>
      </c>
      <c r="D499" s="27"/>
      <c r="G499" s="21"/>
      <c r="H499" s="22"/>
      <c r="I499" s="23"/>
      <c r="J499" s="21"/>
      <c r="K499" s="21"/>
    </row>
    <row r="500" spans="2:11" x14ac:dyDescent="0.35">
      <c r="B500" s="29"/>
      <c r="C500" s="27"/>
      <c r="D500" s="27"/>
      <c r="G500" s="21"/>
      <c r="H500" s="22"/>
      <c r="I500" s="23"/>
      <c r="J500" s="21"/>
      <c r="K500" s="21"/>
    </row>
    <row r="501" spans="2:11" x14ac:dyDescent="0.35">
      <c r="B501" s="29"/>
      <c r="C501" s="27"/>
      <c r="D501" s="27"/>
      <c r="G501" s="21"/>
      <c r="H501" s="22"/>
      <c r="I501" s="23"/>
      <c r="J501" s="21"/>
      <c r="K501" s="21"/>
    </row>
    <row r="502" spans="2:11" x14ac:dyDescent="0.35">
      <c r="B502" s="29"/>
      <c r="C502" s="27"/>
      <c r="D502" s="27"/>
      <c r="G502" s="21"/>
      <c r="H502" s="22"/>
      <c r="I502" s="23"/>
      <c r="J502" s="21"/>
      <c r="K502" s="21"/>
    </row>
    <row r="503" spans="2:11" x14ac:dyDescent="0.35">
      <c r="B503" s="29"/>
      <c r="C503" s="27"/>
      <c r="D503" s="27"/>
      <c r="G503" s="21"/>
      <c r="H503" s="22"/>
      <c r="I503" s="23"/>
      <c r="J503" s="21"/>
      <c r="K503" s="21"/>
    </row>
    <row r="504" spans="2:11" x14ac:dyDescent="0.35">
      <c r="B504" s="29"/>
      <c r="C504" s="27"/>
      <c r="D504" s="27"/>
      <c r="G504" s="21"/>
      <c r="H504" s="22"/>
      <c r="I504" s="23"/>
      <c r="J504" s="21"/>
      <c r="K504" s="21"/>
    </row>
    <row r="505" spans="2:11" x14ac:dyDescent="0.35">
      <c r="B505" s="29"/>
      <c r="C505" s="27"/>
      <c r="D505" s="27"/>
      <c r="G505" s="21"/>
      <c r="H505" s="22"/>
      <c r="I505" s="23"/>
      <c r="J505" s="21"/>
      <c r="K505" s="21"/>
    </row>
    <row r="506" spans="2:11" x14ac:dyDescent="0.35">
      <c r="B506" s="29"/>
      <c r="C506" s="27"/>
      <c r="D506" s="27"/>
      <c r="G506" s="21"/>
      <c r="H506" s="22"/>
      <c r="I506" s="23"/>
      <c r="J506" s="21"/>
      <c r="K506" s="21"/>
    </row>
    <row r="507" spans="2:11" x14ac:dyDescent="0.35">
      <c r="B507" s="29"/>
      <c r="C507" s="27"/>
      <c r="D507" s="27"/>
      <c r="G507" s="21"/>
      <c r="H507" s="22"/>
      <c r="I507" s="23"/>
      <c r="J507" s="21"/>
      <c r="K507" s="21"/>
    </row>
    <row r="508" spans="2:11" x14ac:dyDescent="0.35">
      <c r="B508" s="29"/>
      <c r="C508" s="27"/>
      <c r="D508" s="27"/>
      <c r="G508" s="21"/>
      <c r="H508" s="22"/>
      <c r="I508" s="23"/>
      <c r="J508" s="21"/>
      <c r="K508" s="21"/>
    </row>
    <row r="509" spans="2:11" x14ac:dyDescent="0.35">
      <c r="B509" s="29"/>
      <c r="C509" s="27"/>
      <c r="D509" s="27"/>
      <c r="G509" s="21"/>
      <c r="H509" s="22"/>
      <c r="I509" s="23"/>
      <c r="J509" s="21"/>
      <c r="K509" s="21"/>
    </row>
    <row r="510" spans="2:11" x14ac:dyDescent="0.35">
      <c r="B510" s="29"/>
      <c r="C510" s="27"/>
      <c r="D510" s="27"/>
      <c r="G510" s="21"/>
      <c r="H510" s="22"/>
      <c r="I510" s="23"/>
      <c r="J510" s="21"/>
      <c r="K510" s="21"/>
    </row>
    <row r="511" spans="2:11" x14ac:dyDescent="0.35">
      <c r="B511" s="29"/>
      <c r="C511" s="27"/>
      <c r="D511" s="27"/>
      <c r="G511" s="21"/>
      <c r="H511" s="22"/>
      <c r="I511" s="23"/>
      <c r="J511" s="21"/>
      <c r="K511" s="21"/>
    </row>
    <row r="512" spans="2:11" x14ac:dyDescent="0.35">
      <c r="B512" s="29"/>
      <c r="C512" s="27"/>
      <c r="D512" s="27"/>
      <c r="G512" s="21"/>
      <c r="H512" s="22"/>
      <c r="I512" s="23"/>
      <c r="J512" s="21"/>
      <c r="K512" s="21"/>
    </row>
    <row r="617" spans="2:11" x14ac:dyDescent="0.35">
      <c r="B617" s="29"/>
      <c r="C617" s="27"/>
      <c r="D617" s="27"/>
      <c r="G617" s="21"/>
      <c r="H617" s="22"/>
      <c r="I617" s="23"/>
      <c r="J617" s="21"/>
      <c r="K617" s="21"/>
    </row>
    <row r="618" spans="2:11" x14ac:dyDescent="0.35">
      <c r="B618" s="29"/>
      <c r="C618" s="27"/>
      <c r="D618" s="27"/>
      <c r="G618" s="21"/>
      <c r="H618" s="22"/>
      <c r="I618" s="23"/>
      <c r="J618" s="21"/>
      <c r="K618" s="21"/>
    </row>
    <row r="619" spans="2:11" x14ac:dyDescent="0.35">
      <c r="B619" s="29"/>
      <c r="C619" s="27"/>
      <c r="D619" s="27"/>
      <c r="G619" s="21"/>
      <c r="H619" s="22"/>
      <c r="I619" s="23"/>
      <c r="J619" s="21"/>
      <c r="K619" s="21"/>
    </row>
    <row r="620" spans="2:11" x14ac:dyDescent="0.35">
      <c r="B620" s="29"/>
      <c r="C620" s="27"/>
      <c r="D620" s="27"/>
      <c r="G620" s="21"/>
      <c r="H620" s="22"/>
      <c r="I620" s="23"/>
      <c r="J620" s="21"/>
      <c r="K620" s="21"/>
    </row>
    <row r="621" spans="2:11" x14ac:dyDescent="0.35">
      <c r="B621" s="29"/>
      <c r="C621" s="27"/>
      <c r="D621" s="27"/>
      <c r="G621" s="21"/>
      <c r="H621" s="22"/>
      <c r="I621" s="23"/>
      <c r="J621" s="21"/>
      <c r="K621" s="21"/>
    </row>
    <row r="622" spans="2:11" x14ac:dyDescent="0.35">
      <c r="B622" s="29"/>
      <c r="C622" s="27"/>
      <c r="D622" s="27"/>
      <c r="G622" s="21"/>
      <c r="H622" s="22"/>
      <c r="I622" s="23"/>
      <c r="J622" s="21"/>
      <c r="K622" s="21"/>
    </row>
    <row r="623" spans="2:11" x14ac:dyDescent="0.35">
      <c r="B623" s="29"/>
      <c r="C623" s="27"/>
      <c r="D623" s="27"/>
      <c r="G623" s="21"/>
      <c r="H623" s="22"/>
      <c r="I623" s="23"/>
      <c r="J623" s="21"/>
      <c r="K623" s="21"/>
    </row>
    <row r="624" spans="2:11" x14ac:dyDescent="0.35">
      <c r="B624" s="29"/>
      <c r="D624" s="27"/>
      <c r="G624" s="21"/>
      <c r="H624" s="22"/>
      <c r="I624" s="23"/>
      <c r="J624" s="21"/>
      <c r="K624" s="21"/>
    </row>
    <row r="625" spans="2:11" x14ac:dyDescent="0.35">
      <c r="B625" s="29"/>
      <c r="C625" s="27"/>
      <c r="D625" s="27"/>
      <c r="G625" s="21"/>
      <c r="H625" s="22"/>
      <c r="I625" s="23"/>
      <c r="J625" s="21"/>
      <c r="K625" s="21"/>
    </row>
    <row r="626" spans="2:11" x14ac:dyDescent="0.35">
      <c r="B626" s="29"/>
      <c r="C626" s="27"/>
      <c r="D626" s="27"/>
      <c r="G626" s="21"/>
      <c r="H626" s="22"/>
      <c r="I626" s="23"/>
      <c r="J626" s="21"/>
      <c r="K626" s="21"/>
    </row>
    <row r="627" spans="2:11" x14ac:dyDescent="0.35">
      <c r="B627" s="29"/>
      <c r="C627" s="27"/>
      <c r="D627" s="27"/>
      <c r="G627" s="21"/>
      <c r="H627" s="22"/>
      <c r="I627" s="23"/>
      <c r="J627" s="21"/>
      <c r="K627" s="21"/>
    </row>
    <row r="628" spans="2:11" x14ac:dyDescent="0.35">
      <c r="B628" s="29"/>
      <c r="C628" s="27"/>
      <c r="D628" s="27"/>
      <c r="G628" s="21"/>
      <c r="H628" s="22"/>
      <c r="I628" s="23"/>
      <c r="J628" s="21"/>
      <c r="K628" s="21"/>
    </row>
    <row r="629" spans="2:11" x14ac:dyDescent="0.35">
      <c r="G629" s="21"/>
      <c r="H629" s="22"/>
      <c r="I629" s="23"/>
      <c r="J629" s="21"/>
      <c r="K629" s="21"/>
    </row>
    <row r="630" spans="2:11" x14ac:dyDescent="0.35">
      <c r="G630" s="21"/>
      <c r="H630" s="22"/>
      <c r="I630" s="23"/>
      <c r="J630" s="21"/>
      <c r="K630" s="21"/>
    </row>
    <row r="631" spans="2:11" x14ac:dyDescent="0.35">
      <c r="G631" s="21"/>
      <c r="H631" s="22"/>
      <c r="I631" s="23"/>
      <c r="J631" s="21"/>
      <c r="K631" s="21"/>
    </row>
    <row r="632" spans="2:11" x14ac:dyDescent="0.35">
      <c r="B632" s="4"/>
      <c r="G632" s="21"/>
      <c r="H632" s="22"/>
      <c r="I632" s="23"/>
      <c r="J632" s="21"/>
      <c r="K632" s="21"/>
    </row>
    <row r="633" spans="2:11" x14ac:dyDescent="0.35">
      <c r="G633" s="21"/>
      <c r="H633" s="22"/>
      <c r="I633" s="23"/>
      <c r="J633" s="21"/>
      <c r="K633" s="21"/>
    </row>
    <row r="634" spans="2:11" x14ac:dyDescent="0.35">
      <c r="G634" s="21"/>
      <c r="H634" s="22"/>
      <c r="I634" s="23"/>
      <c r="J634" s="21"/>
      <c r="K634" s="21"/>
    </row>
    <row r="635" spans="2:11" x14ac:dyDescent="0.35">
      <c r="G635" s="21"/>
      <c r="H635" s="22"/>
      <c r="I635" s="23"/>
      <c r="J635" s="21"/>
      <c r="K635" s="21"/>
    </row>
    <row r="636" spans="2:11" x14ac:dyDescent="0.35">
      <c r="G636" s="21"/>
      <c r="H636" s="22"/>
      <c r="I636" s="23"/>
      <c r="J636" s="21"/>
      <c r="K636" s="21"/>
    </row>
    <row r="637" spans="2:11" x14ac:dyDescent="0.35">
      <c r="I637" s="23"/>
      <c r="J637" s="21"/>
      <c r="K637" s="21"/>
    </row>
    <row r="638" spans="2:11" x14ac:dyDescent="0.35">
      <c r="I638" s="23"/>
      <c r="J638" s="21"/>
      <c r="K638" s="21"/>
    </row>
    <row r="639" spans="2:11" x14ac:dyDescent="0.35">
      <c r="I639" s="23"/>
      <c r="J639" s="21"/>
      <c r="K639" s="21"/>
    </row>
    <row r="640" spans="2:11" x14ac:dyDescent="0.35">
      <c r="I640" s="23"/>
      <c r="J640" s="21"/>
      <c r="K640" s="21"/>
    </row>
    <row r="641" spans="7:11" x14ac:dyDescent="0.35">
      <c r="I641" s="23"/>
      <c r="J641" s="21"/>
      <c r="K641" s="21"/>
    </row>
    <row r="642" spans="7:11" x14ac:dyDescent="0.35">
      <c r="I642" s="23"/>
      <c r="J642" s="21"/>
      <c r="K642" s="21"/>
    </row>
    <row r="643" spans="7:11" x14ac:dyDescent="0.35">
      <c r="I643" s="23"/>
      <c r="J643" s="21"/>
      <c r="K643" s="21"/>
    </row>
    <row r="644" spans="7:11" x14ac:dyDescent="0.35">
      <c r="I644" s="23"/>
      <c r="J644" s="21"/>
      <c r="K644" s="21"/>
    </row>
    <row r="645" spans="7:11" x14ac:dyDescent="0.35">
      <c r="I645" s="23"/>
      <c r="J645" s="21"/>
      <c r="K645" s="21"/>
    </row>
    <row r="646" spans="7:11" x14ac:dyDescent="0.35">
      <c r="I646" s="23"/>
      <c r="J646" s="21"/>
      <c r="K646" s="21"/>
    </row>
    <row r="647" spans="7:11" x14ac:dyDescent="0.35">
      <c r="I647" s="23"/>
      <c r="J647" s="21"/>
      <c r="K647" s="21"/>
    </row>
    <row r="648" spans="7:11" x14ac:dyDescent="0.35">
      <c r="I648" s="23"/>
      <c r="J648" s="21"/>
      <c r="K648" s="21"/>
    </row>
    <row r="649" spans="7:11" x14ac:dyDescent="0.35">
      <c r="I649" s="23"/>
      <c r="J649" s="21"/>
      <c r="K649" s="21"/>
    </row>
    <row r="650" spans="7:11" x14ac:dyDescent="0.35">
      <c r="I650" s="23"/>
      <c r="J650" s="21"/>
      <c r="K650" s="21"/>
    </row>
    <row r="651" spans="7:11" x14ac:dyDescent="0.35">
      <c r="I651" s="23"/>
      <c r="J651" s="21"/>
      <c r="K651" s="21"/>
    </row>
    <row r="652" spans="7:11" x14ac:dyDescent="0.35">
      <c r="I652" s="23"/>
      <c r="J652" s="21"/>
      <c r="K652" s="21"/>
    </row>
    <row r="653" spans="7:11" x14ac:dyDescent="0.35">
      <c r="I653" s="23"/>
      <c r="J653" s="21"/>
      <c r="K653" s="21"/>
    </row>
    <row r="654" spans="7:11" x14ac:dyDescent="0.35">
      <c r="I654" s="23"/>
      <c r="J654" s="21"/>
      <c r="K654" s="21"/>
    </row>
    <row r="655" spans="7:11" x14ac:dyDescent="0.35">
      <c r="G655" s="21"/>
      <c r="H655" s="22"/>
      <c r="I655" s="23"/>
      <c r="J655" s="21"/>
      <c r="K655" s="21"/>
    </row>
    <row r="656" spans="7:11" x14ac:dyDescent="0.35">
      <c r="H656" s="20"/>
      <c r="I656" s="20"/>
      <c r="J656" s="21"/>
      <c r="K656" s="21"/>
    </row>
    <row r="657" spans="8:11" x14ac:dyDescent="0.35">
      <c r="H657" s="20"/>
      <c r="I657" s="20"/>
      <c r="J657" s="21"/>
      <c r="K657" s="21"/>
    </row>
    <row r="658" spans="8:11" x14ac:dyDescent="0.35">
      <c r="H658" s="20"/>
      <c r="I658" s="20"/>
      <c r="J658" s="21"/>
      <c r="K658" s="21"/>
    </row>
    <row r="659" spans="8:11" x14ac:dyDescent="0.35">
      <c r="H659" s="20"/>
      <c r="I659" s="20"/>
      <c r="J659" s="21"/>
      <c r="K659" s="21"/>
    </row>
    <row r="660" spans="8:11" x14ac:dyDescent="0.35">
      <c r="H660" s="20"/>
      <c r="I660" s="20"/>
      <c r="J660" s="21"/>
      <c r="K660" s="21"/>
    </row>
    <row r="661" spans="8:11" x14ac:dyDescent="0.35">
      <c r="H661" s="20"/>
      <c r="I661" s="20"/>
      <c r="J661" s="21"/>
      <c r="K661" s="21"/>
    </row>
    <row r="662" spans="8:11" x14ac:dyDescent="0.35">
      <c r="H662" s="20"/>
      <c r="I662" s="20"/>
      <c r="J662" s="21"/>
      <c r="K662" s="21"/>
    </row>
    <row r="663" spans="8:11" x14ac:dyDescent="0.35">
      <c r="H663" s="20"/>
      <c r="I663" s="20"/>
      <c r="J663" s="21"/>
      <c r="K663" s="21"/>
    </row>
    <row r="664" spans="8:11" x14ac:dyDescent="0.35">
      <c r="H664" s="20"/>
      <c r="I664" s="20"/>
      <c r="J664" s="21"/>
      <c r="K664" s="21"/>
    </row>
    <row r="665" spans="8:11" x14ac:dyDescent="0.35">
      <c r="H665" s="20"/>
      <c r="I665" s="20"/>
      <c r="J665" s="21"/>
      <c r="K665" s="21"/>
    </row>
    <row r="666" spans="8:11" x14ac:dyDescent="0.35">
      <c r="H666" s="20"/>
      <c r="I666" s="20"/>
      <c r="J666" s="21"/>
      <c r="K666" s="21"/>
    </row>
    <row r="667" spans="8:11" x14ac:dyDescent="0.35">
      <c r="H667" s="20"/>
      <c r="I667" s="20"/>
      <c r="J667" s="21"/>
      <c r="K667" s="21"/>
    </row>
    <row r="668" spans="8:11" x14ac:dyDescent="0.35">
      <c r="H668" s="20"/>
      <c r="I668" s="20"/>
      <c r="J668" s="21"/>
      <c r="K668" s="21"/>
    </row>
    <row r="669" spans="8:11" x14ac:dyDescent="0.35">
      <c r="H669" s="20"/>
      <c r="I669" s="20"/>
      <c r="J669" s="21"/>
      <c r="K669" s="21"/>
    </row>
    <row r="670" spans="8:11" x14ac:dyDescent="0.35">
      <c r="H670" s="20"/>
      <c r="I670" s="20"/>
      <c r="J670" s="21"/>
      <c r="K670" s="21"/>
    </row>
    <row r="671" spans="8:11" x14ac:dyDescent="0.35">
      <c r="H671" s="20"/>
      <c r="I671" s="20"/>
      <c r="J671" s="21"/>
      <c r="K671" s="21"/>
    </row>
    <row r="672" spans="8:11" x14ac:dyDescent="0.35">
      <c r="H672" s="20"/>
      <c r="I672" s="20"/>
      <c r="J672" s="21"/>
      <c r="K672" s="21"/>
    </row>
    <row r="673" spans="7:11" x14ac:dyDescent="0.35">
      <c r="H673" s="20"/>
      <c r="I673" s="20"/>
      <c r="J673" s="21"/>
      <c r="K673" s="21"/>
    </row>
    <row r="674" spans="7:11" x14ac:dyDescent="0.35">
      <c r="H674" s="20"/>
      <c r="I674" s="20"/>
      <c r="J674" s="21"/>
      <c r="K674" s="21"/>
    </row>
    <row r="675" spans="7:11" x14ac:dyDescent="0.35">
      <c r="H675" s="20"/>
      <c r="I675" s="20"/>
      <c r="J675" s="21"/>
      <c r="K675" s="21"/>
    </row>
    <row r="676" spans="7:11" x14ac:dyDescent="0.35">
      <c r="H676" s="20"/>
      <c r="I676" s="20"/>
      <c r="J676" s="21"/>
      <c r="K676" s="21"/>
    </row>
    <row r="677" spans="7:11" x14ac:dyDescent="0.35">
      <c r="H677" s="20"/>
      <c r="I677" s="20"/>
      <c r="J677" s="21"/>
      <c r="K677" s="21"/>
    </row>
    <row r="678" spans="7:11" x14ac:dyDescent="0.35">
      <c r="H678" s="20"/>
      <c r="I678" s="20"/>
      <c r="J678" s="21"/>
      <c r="K678" s="21"/>
    </row>
    <row r="679" spans="7:11" x14ac:dyDescent="0.35">
      <c r="H679" s="20"/>
      <c r="I679" s="20"/>
      <c r="J679" s="21"/>
      <c r="K679" s="21"/>
    </row>
    <row r="680" spans="7:11" x14ac:dyDescent="0.35">
      <c r="H680" s="20"/>
      <c r="I680" s="20"/>
      <c r="J680" s="21"/>
      <c r="K680" s="21"/>
    </row>
    <row r="681" spans="7:11" x14ac:dyDescent="0.35">
      <c r="G681" s="21"/>
      <c r="H681" s="22"/>
      <c r="I681" s="23"/>
      <c r="J681" s="21"/>
      <c r="K681" s="21"/>
    </row>
    <row r="682" spans="7:11" x14ac:dyDescent="0.35">
      <c r="G682" s="21"/>
      <c r="H682" s="22"/>
      <c r="I682" s="23"/>
      <c r="J682" s="21"/>
      <c r="K682" s="21"/>
    </row>
    <row r="683" spans="7:11" x14ac:dyDescent="0.35">
      <c r="G683" s="21"/>
      <c r="H683" s="22"/>
      <c r="I683" s="23"/>
      <c r="J683" s="21"/>
      <c r="K683" s="21"/>
    </row>
    <row r="684" spans="7:11" x14ac:dyDescent="0.35">
      <c r="G684" s="21"/>
      <c r="H684" s="22"/>
      <c r="I684" s="23"/>
      <c r="J684" s="21"/>
      <c r="K684" s="21"/>
    </row>
    <row r="685" spans="7:11" x14ac:dyDescent="0.35">
      <c r="G685" s="21"/>
      <c r="H685" s="22"/>
      <c r="I685" s="23"/>
      <c r="J685" s="21"/>
      <c r="K685" s="21"/>
    </row>
    <row r="686" spans="7:11" x14ac:dyDescent="0.35">
      <c r="G686" s="21"/>
      <c r="H686" s="22"/>
      <c r="I686" s="23"/>
      <c r="J686" s="21"/>
      <c r="K686" s="21"/>
    </row>
    <row r="687" spans="7:11" x14ac:dyDescent="0.35">
      <c r="G687" s="21"/>
      <c r="H687" s="22"/>
      <c r="I687" s="23"/>
      <c r="J687" s="21"/>
      <c r="K687" s="21"/>
    </row>
    <row r="688" spans="7:11" x14ac:dyDescent="0.35">
      <c r="G688" s="21"/>
      <c r="H688" s="22"/>
      <c r="I688" s="23"/>
      <c r="J688" s="21"/>
      <c r="K688" s="21"/>
    </row>
    <row r="689" spans="2:11" x14ac:dyDescent="0.35">
      <c r="G689" s="21"/>
      <c r="H689" s="22"/>
      <c r="I689" s="23"/>
      <c r="J689" s="21"/>
      <c r="K689" s="21"/>
    </row>
    <row r="690" spans="2:11" x14ac:dyDescent="0.35">
      <c r="G690" s="21"/>
      <c r="H690" s="22"/>
      <c r="I690" s="23"/>
      <c r="J690" s="21"/>
      <c r="K690" s="21"/>
    </row>
    <row r="691" spans="2:11" x14ac:dyDescent="0.35">
      <c r="G691" s="21"/>
      <c r="H691" s="22"/>
      <c r="I691" s="23"/>
      <c r="J691" s="21"/>
      <c r="K691" s="21"/>
    </row>
    <row r="692" spans="2:11" x14ac:dyDescent="0.35">
      <c r="G692" s="21"/>
      <c r="H692" s="22"/>
      <c r="I692" s="23"/>
      <c r="J692" s="21"/>
      <c r="K692" s="21"/>
    </row>
    <row r="693" spans="2:11" x14ac:dyDescent="0.35">
      <c r="G693" s="21"/>
      <c r="H693" s="22"/>
      <c r="I693" s="23"/>
      <c r="J693" s="21"/>
      <c r="K693" s="21"/>
    </row>
    <row r="694" spans="2:11" x14ac:dyDescent="0.35">
      <c r="G694" s="21"/>
      <c r="H694" s="22"/>
      <c r="I694" s="23"/>
      <c r="J694" s="21"/>
      <c r="K694" s="21"/>
    </row>
    <row r="695" spans="2:11" x14ac:dyDescent="0.35">
      <c r="G695" s="21"/>
      <c r="H695" s="22"/>
      <c r="I695" s="23"/>
      <c r="J695" s="21"/>
      <c r="K695" s="21"/>
    </row>
    <row r="696" spans="2:11" x14ac:dyDescent="0.35">
      <c r="G696" s="21"/>
      <c r="H696" s="22"/>
      <c r="I696" s="23"/>
      <c r="J696" s="21"/>
      <c r="K696" s="21"/>
    </row>
    <row r="697" spans="2:11" x14ac:dyDescent="0.35">
      <c r="G697" s="21"/>
      <c r="H697" s="22"/>
      <c r="I697" s="23"/>
      <c r="J697" s="21"/>
      <c r="K697" s="21"/>
    </row>
    <row r="698" spans="2:11" x14ac:dyDescent="0.35">
      <c r="G698" s="21"/>
      <c r="H698" s="22"/>
      <c r="I698" s="23"/>
      <c r="J698" s="21"/>
      <c r="K698" s="21"/>
    </row>
    <row r="699" spans="2:11" x14ac:dyDescent="0.35">
      <c r="B699" s="29"/>
      <c r="C699" s="27"/>
      <c r="D699" s="27"/>
      <c r="G699" s="21"/>
      <c r="H699" s="22"/>
      <c r="I699" s="23"/>
      <c r="J699" s="21"/>
      <c r="K699" s="21"/>
    </row>
    <row r="700" spans="2:11" x14ac:dyDescent="0.35">
      <c r="B700" s="29"/>
      <c r="C700" s="27"/>
      <c r="D700" s="27"/>
      <c r="G700" s="21"/>
      <c r="H700" s="22"/>
      <c r="I700" s="23"/>
      <c r="J700" s="21"/>
      <c r="K700" s="21"/>
    </row>
    <row r="701" spans="2:11" x14ac:dyDescent="0.35">
      <c r="B701" s="29"/>
      <c r="C701" s="27"/>
      <c r="D701" s="27"/>
      <c r="G701" s="21"/>
      <c r="H701" s="22"/>
      <c r="I701" s="23"/>
      <c r="J701" s="21"/>
      <c r="K701" s="21"/>
    </row>
    <row r="702" spans="2:11" x14ac:dyDescent="0.35">
      <c r="B702" s="29"/>
      <c r="C702" s="27"/>
      <c r="D702" s="27"/>
      <c r="G702" s="21"/>
      <c r="H702" s="22"/>
      <c r="I702" s="23"/>
      <c r="J702" s="21"/>
      <c r="K702" s="21"/>
    </row>
    <row r="703" spans="2:11" x14ac:dyDescent="0.35">
      <c r="G703" s="21"/>
      <c r="H703" s="22"/>
      <c r="I703" s="23"/>
      <c r="J703" s="21"/>
      <c r="K703" s="21"/>
    </row>
    <row r="704" spans="2:11" x14ac:dyDescent="0.35">
      <c r="G704" s="21"/>
      <c r="H704" s="22"/>
      <c r="I704" s="23"/>
      <c r="J704" s="21"/>
      <c r="K704" s="21"/>
    </row>
    <row r="705" spans="2:11" x14ac:dyDescent="0.35">
      <c r="G705" s="21"/>
      <c r="H705" s="22"/>
      <c r="I705" s="23"/>
      <c r="J705" s="21"/>
      <c r="K705" s="21"/>
    </row>
    <row r="706" spans="2:11" x14ac:dyDescent="0.35">
      <c r="B706" s="29"/>
      <c r="C706" s="151"/>
      <c r="D706" s="27"/>
      <c r="G706" s="21"/>
      <c r="H706" s="22"/>
      <c r="I706" s="23"/>
      <c r="J706" s="21"/>
      <c r="K706" s="21"/>
    </row>
    <row r="707" spans="2:11" x14ac:dyDescent="0.35">
      <c r="B707" s="29"/>
      <c r="C707" s="27"/>
      <c r="D707" s="27"/>
      <c r="G707" s="21"/>
      <c r="H707" s="22"/>
      <c r="I707" s="23"/>
      <c r="J707" s="21"/>
      <c r="K707" s="21"/>
    </row>
    <row r="708" spans="2:11" x14ac:dyDescent="0.35">
      <c r="B708" s="29"/>
      <c r="C708" s="27"/>
      <c r="D708" s="27"/>
      <c r="G708" s="21"/>
      <c r="H708" s="22"/>
      <c r="I708" s="23"/>
      <c r="J708" s="21"/>
      <c r="K708" s="21"/>
    </row>
    <row r="709" spans="2:11" x14ac:dyDescent="0.35">
      <c r="B709" s="29"/>
      <c r="C709" s="27"/>
      <c r="D709" s="27"/>
      <c r="G709" s="21"/>
      <c r="H709" s="22"/>
      <c r="I709" s="23"/>
      <c r="J709" s="21"/>
      <c r="K709" s="21"/>
    </row>
    <row r="710" spans="2:11" x14ac:dyDescent="0.35">
      <c r="B710" s="29"/>
      <c r="C710" s="27"/>
      <c r="D710" s="27"/>
      <c r="G710" s="21"/>
      <c r="H710" s="22"/>
      <c r="I710" s="23"/>
      <c r="J710" s="21"/>
      <c r="K710" s="21"/>
    </row>
    <row r="711" spans="2:11" x14ac:dyDescent="0.35">
      <c r="B711" s="29"/>
      <c r="C711" s="27"/>
      <c r="D711" s="27"/>
      <c r="G711" s="21"/>
      <c r="H711" s="22"/>
      <c r="I711" s="23"/>
      <c r="J711" s="21"/>
      <c r="K711" s="21"/>
    </row>
    <row r="712" spans="2:11" x14ac:dyDescent="0.35">
      <c r="B712" s="29"/>
      <c r="C712" s="151"/>
      <c r="D712" s="27"/>
      <c r="G712" s="21"/>
      <c r="H712" s="22"/>
      <c r="I712" s="23"/>
      <c r="J712" s="21"/>
      <c r="K712" s="21"/>
    </row>
    <row r="713" spans="2:11" x14ac:dyDescent="0.35">
      <c r="B713" s="29"/>
      <c r="C713" s="27"/>
      <c r="D713" s="27"/>
      <c r="G713" s="21"/>
      <c r="H713" s="22"/>
      <c r="I713" s="23"/>
      <c r="J713" s="21"/>
      <c r="K713" s="21"/>
    </row>
    <row r="714" spans="2:11" x14ac:dyDescent="0.35">
      <c r="B714" s="29"/>
      <c r="C714" s="27"/>
      <c r="D714" s="27"/>
      <c r="G714" s="21"/>
      <c r="H714" s="22"/>
      <c r="I714" s="23"/>
      <c r="J714" s="21"/>
      <c r="K714" s="21"/>
    </row>
    <row r="715" spans="2:11" x14ac:dyDescent="0.35">
      <c r="B715" s="29"/>
      <c r="C715" s="27"/>
      <c r="D715" s="27"/>
      <c r="G715" s="21"/>
      <c r="H715" s="22"/>
      <c r="I715" s="23"/>
      <c r="J715" s="21"/>
      <c r="K715" s="21"/>
    </row>
    <row r="716" spans="2:11" x14ac:dyDescent="0.35">
      <c r="B716" s="29"/>
      <c r="C716" s="27"/>
      <c r="D716" s="27"/>
      <c r="G716" s="21"/>
      <c r="H716" s="22"/>
      <c r="I716" s="23"/>
      <c r="J716" s="21"/>
      <c r="K716" s="21"/>
    </row>
    <row r="717" spans="2:11" x14ac:dyDescent="0.35">
      <c r="B717" s="29"/>
      <c r="C717" s="27"/>
      <c r="D717" s="27"/>
      <c r="G717" s="21"/>
      <c r="H717" s="22"/>
      <c r="I717" s="23"/>
      <c r="J717" s="21"/>
      <c r="K717" s="21"/>
    </row>
    <row r="718" spans="2:11" x14ac:dyDescent="0.35">
      <c r="B718" s="29"/>
      <c r="C718" s="27"/>
      <c r="D718" s="27"/>
      <c r="G718" s="21"/>
      <c r="H718" s="22"/>
      <c r="I718" s="23"/>
      <c r="J718" s="21"/>
      <c r="K718" s="21"/>
    </row>
    <row r="719" spans="2:11" x14ac:dyDescent="0.35">
      <c r="B719" s="29"/>
      <c r="C719" s="27"/>
      <c r="D719" s="27"/>
      <c r="G719" s="21"/>
      <c r="H719" s="22"/>
      <c r="I719" s="23"/>
      <c r="J719" s="21"/>
      <c r="K719" s="21"/>
    </row>
    <row r="720" spans="2:11" x14ac:dyDescent="0.35">
      <c r="B720" s="29"/>
      <c r="C720" s="27"/>
      <c r="D720" s="27"/>
      <c r="G720" s="21"/>
      <c r="H720" s="22"/>
      <c r="I720" s="23"/>
      <c r="J720" s="21"/>
      <c r="K720" s="21"/>
    </row>
    <row r="721" spans="2:11" x14ac:dyDescent="0.35">
      <c r="B721" s="29"/>
      <c r="C721" s="27"/>
      <c r="D721" s="27"/>
      <c r="G721" s="21"/>
      <c r="H721" s="22"/>
      <c r="I721" s="23"/>
      <c r="J721" s="21"/>
      <c r="K721" s="21"/>
    </row>
    <row r="722" spans="2:11" x14ac:dyDescent="0.35">
      <c r="B722" s="29"/>
      <c r="C722" s="27"/>
      <c r="D722" s="27"/>
      <c r="G722" s="21"/>
      <c r="H722" s="22"/>
      <c r="I722" s="23"/>
      <c r="J722" s="21"/>
      <c r="K722" s="21"/>
    </row>
    <row r="723" spans="2:11" x14ac:dyDescent="0.35">
      <c r="B723" s="29"/>
      <c r="C723" s="151"/>
      <c r="D723" s="27"/>
      <c r="G723" s="21"/>
      <c r="H723" s="22"/>
      <c r="I723" s="23"/>
      <c r="J723" s="21"/>
      <c r="K723" s="21"/>
    </row>
    <row r="724" spans="2:11" x14ac:dyDescent="0.35">
      <c r="B724" s="29"/>
      <c r="C724" s="27"/>
      <c r="D724" s="27"/>
      <c r="G724" s="21"/>
      <c r="H724" s="22"/>
      <c r="I724" s="23"/>
      <c r="J724" s="21"/>
      <c r="K724" s="21"/>
    </row>
    <row r="725" spans="2:11" x14ac:dyDescent="0.35">
      <c r="B725" s="29"/>
      <c r="C725" s="27"/>
      <c r="D725" s="27"/>
      <c r="G725" s="21"/>
      <c r="H725" s="22"/>
      <c r="I725" s="23"/>
      <c r="J725" s="21"/>
      <c r="K725" s="21"/>
    </row>
    <row r="726" spans="2:11" x14ac:dyDescent="0.35">
      <c r="B726" s="29"/>
      <c r="C726" s="27"/>
      <c r="D726" s="27"/>
      <c r="G726" s="21"/>
      <c r="H726" s="22"/>
      <c r="I726" s="23"/>
      <c r="J726" s="21"/>
      <c r="K726" s="21"/>
    </row>
    <row r="727" spans="2:11" x14ac:dyDescent="0.35">
      <c r="B727" s="29"/>
      <c r="C727" s="27"/>
      <c r="D727" s="27"/>
      <c r="G727" s="21"/>
      <c r="H727" s="22"/>
      <c r="I727" s="23"/>
      <c r="J727" s="21"/>
      <c r="K727" s="21"/>
    </row>
    <row r="728" spans="2:11" x14ac:dyDescent="0.35">
      <c r="B728" s="29"/>
      <c r="C728" s="27"/>
      <c r="D728" s="27"/>
      <c r="G728" s="21"/>
      <c r="H728" s="22"/>
      <c r="I728" s="23"/>
      <c r="J728" s="21"/>
      <c r="K728" s="21"/>
    </row>
    <row r="729" spans="2:11" x14ac:dyDescent="0.35">
      <c r="B729" s="29"/>
      <c r="C729" s="27"/>
      <c r="D729" s="27"/>
      <c r="G729" s="21"/>
      <c r="H729" s="22"/>
      <c r="I729" s="23"/>
      <c r="J729" s="21"/>
      <c r="K729" s="21"/>
    </row>
    <row r="730" spans="2:11" x14ac:dyDescent="0.35">
      <c r="B730" s="29"/>
      <c r="C730" s="143"/>
      <c r="D730" s="27"/>
      <c r="G730" s="21"/>
      <c r="H730" s="22"/>
      <c r="I730" s="23"/>
      <c r="J730" s="21"/>
      <c r="K730" s="21"/>
    </row>
    <row r="731" spans="2:11" x14ac:dyDescent="0.35">
      <c r="B731" s="29"/>
      <c r="C731" s="27"/>
      <c r="D731" s="27"/>
      <c r="G731" s="21"/>
      <c r="H731" s="22"/>
      <c r="I731" s="23"/>
      <c r="J731" s="21"/>
      <c r="K731" s="21"/>
    </row>
    <row r="732" spans="2:11" x14ac:dyDescent="0.35">
      <c r="B732" s="29"/>
      <c r="C732" s="27"/>
      <c r="D732" s="27"/>
      <c r="G732" s="21"/>
      <c r="H732" s="22"/>
      <c r="I732" s="23"/>
      <c r="J732" s="21"/>
      <c r="K732" s="21"/>
    </row>
    <row r="733" spans="2:11" x14ac:dyDescent="0.35">
      <c r="B733" s="29"/>
      <c r="C733" s="27"/>
      <c r="D733" s="27"/>
      <c r="G733" s="21"/>
      <c r="H733" s="22"/>
      <c r="I733" s="23"/>
      <c r="J733" s="21"/>
      <c r="K733" s="21"/>
    </row>
    <row r="734" spans="2:11" x14ac:dyDescent="0.35">
      <c r="B734" s="29"/>
      <c r="C734" s="27"/>
      <c r="D734" s="27"/>
      <c r="G734" s="21"/>
      <c r="H734" s="22"/>
      <c r="I734" s="23"/>
      <c r="J734" s="21"/>
      <c r="K734" s="21"/>
    </row>
    <row r="735" spans="2:11" x14ac:dyDescent="0.35">
      <c r="B735" s="29"/>
      <c r="C735" s="27"/>
      <c r="D735" s="27"/>
      <c r="G735" s="21"/>
      <c r="H735" s="22"/>
      <c r="I735" s="23"/>
      <c r="J735" s="21"/>
      <c r="K735" s="21"/>
    </row>
    <row r="736" spans="2:11" x14ac:dyDescent="0.35">
      <c r="B736" s="29"/>
      <c r="C736" s="27"/>
      <c r="D736" s="27"/>
      <c r="G736" s="21"/>
      <c r="H736" s="22"/>
      <c r="I736" s="23"/>
      <c r="J736" s="21"/>
      <c r="K736" s="21"/>
    </row>
    <row r="737" spans="2:4" x14ac:dyDescent="0.35">
      <c r="B737" s="29"/>
      <c r="C737" s="27"/>
      <c r="D737" s="27"/>
    </row>
    <row r="738" spans="2:4" x14ac:dyDescent="0.35">
      <c r="B738" s="29"/>
      <c r="C738" s="27"/>
      <c r="D738" s="27"/>
    </row>
    <row r="739" spans="2:4" x14ac:dyDescent="0.35">
      <c r="B739" s="29"/>
      <c r="C739" s="27"/>
      <c r="D739" s="27"/>
    </row>
    <row r="740" spans="2:4" x14ac:dyDescent="0.35">
      <c r="B740" s="29"/>
      <c r="C740" s="27"/>
      <c r="D740" s="27"/>
    </row>
    <row r="741" spans="2:4" x14ac:dyDescent="0.35">
      <c r="B741" s="29"/>
      <c r="C741" s="27"/>
      <c r="D741" s="27"/>
    </row>
    <row r="742" spans="2:4" x14ac:dyDescent="0.35">
      <c r="B742" s="29"/>
      <c r="C742" s="27"/>
      <c r="D742" s="27"/>
    </row>
    <row r="743" spans="2:4" x14ac:dyDescent="0.35">
      <c r="B743" s="29"/>
      <c r="C743" s="27"/>
      <c r="D743" s="27"/>
    </row>
  </sheetData>
  <sheetProtection sheet="1" objects="1" scenarios="1" selectLockedCells="1"/>
  <phoneticPr fontId="4"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T356"/>
  <sheetViews>
    <sheetView topLeftCell="A271" workbookViewId="0">
      <selection activeCell="E37" sqref="E37"/>
    </sheetView>
  </sheetViews>
  <sheetFormatPr defaultColWidth="11.54296875" defaultRowHeight="15.5" x14ac:dyDescent="0.35"/>
  <cols>
    <col min="1" max="1" width="9.26953125" style="20" customWidth="1"/>
    <col min="2" max="2" width="42.81640625" style="29" customWidth="1"/>
    <col min="3" max="3" width="20" style="27" customWidth="1"/>
    <col min="4" max="5" width="11.54296875" style="20"/>
    <col min="6" max="6" width="4" style="20" customWidth="1"/>
    <col min="7" max="7" width="35.7265625" style="29" customWidth="1"/>
    <col min="8" max="8" width="14" style="27" customWidth="1"/>
    <col min="9" max="16384" width="11.54296875" style="20"/>
  </cols>
  <sheetData>
    <row r="1" spans="2:20" ht="20" x14ac:dyDescent="0.4">
      <c r="B1" s="46" t="s">
        <v>70</v>
      </c>
      <c r="E1" s="21"/>
      <c r="F1" s="21"/>
      <c r="G1" s="22"/>
      <c r="H1" s="23"/>
      <c r="I1" s="21"/>
      <c r="J1" s="21"/>
      <c r="K1" s="21"/>
      <c r="L1" s="21"/>
      <c r="M1" s="21"/>
      <c r="N1" s="21"/>
      <c r="O1" s="21"/>
      <c r="P1" s="21"/>
      <c r="Q1" s="21"/>
      <c r="R1" s="21"/>
      <c r="S1" s="21"/>
      <c r="T1" s="21"/>
    </row>
    <row r="2" spans="2:20" x14ac:dyDescent="0.35">
      <c r="B2" s="27"/>
      <c r="E2" s="21"/>
      <c r="F2" s="21"/>
      <c r="G2" s="22"/>
      <c r="H2" s="23"/>
      <c r="I2" s="21"/>
      <c r="J2" s="21"/>
      <c r="K2" s="21"/>
      <c r="L2" s="21"/>
      <c r="M2" s="21"/>
      <c r="N2" s="21"/>
      <c r="O2" s="21"/>
      <c r="P2" s="21"/>
      <c r="Q2" s="21"/>
      <c r="R2" s="21"/>
      <c r="S2" s="21"/>
      <c r="T2" s="21"/>
    </row>
    <row r="3" spans="2:20" x14ac:dyDescent="0.35">
      <c r="B3" s="2"/>
      <c r="E3" s="21"/>
      <c r="F3" s="21"/>
      <c r="G3" s="22"/>
      <c r="H3" s="23"/>
      <c r="I3" s="21"/>
      <c r="J3" s="21"/>
      <c r="K3" s="21"/>
      <c r="L3" s="21"/>
      <c r="M3" s="21"/>
      <c r="N3" s="21"/>
      <c r="O3" s="21"/>
      <c r="P3" s="21"/>
      <c r="Q3" s="21"/>
      <c r="R3" s="21"/>
      <c r="S3" s="21"/>
      <c r="T3" s="21"/>
    </row>
    <row r="4" spans="2:20" x14ac:dyDescent="0.35">
      <c r="E4" s="23"/>
      <c r="F4" s="21"/>
      <c r="G4" s="22"/>
      <c r="H4" s="23"/>
      <c r="I4" s="21"/>
      <c r="J4" s="21"/>
      <c r="K4" s="21"/>
      <c r="L4" s="21"/>
      <c r="M4" s="21"/>
      <c r="N4" s="21"/>
      <c r="O4" s="21"/>
      <c r="P4" s="21"/>
      <c r="Q4" s="21"/>
      <c r="R4" s="21"/>
      <c r="S4" s="21"/>
      <c r="T4" s="21"/>
    </row>
    <row r="5" spans="2:20" x14ac:dyDescent="0.35">
      <c r="C5" s="20"/>
      <c r="E5" s="21"/>
      <c r="F5" s="21"/>
      <c r="G5" s="22"/>
      <c r="H5" s="23"/>
      <c r="I5" s="21"/>
      <c r="J5" s="21"/>
      <c r="K5" s="21"/>
      <c r="L5" s="21"/>
      <c r="M5" s="21"/>
      <c r="N5" s="21"/>
      <c r="O5" s="21"/>
      <c r="P5" s="21"/>
      <c r="Q5" s="21"/>
      <c r="R5" s="21"/>
      <c r="S5" s="21"/>
      <c r="T5" s="21"/>
    </row>
    <row r="6" spans="2:20" x14ac:dyDescent="0.35">
      <c r="E6" s="21"/>
      <c r="F6" s="21"/>
      <c r="G6" s="22"/>
      <c r="H6" s="23"/>
      <c r="I6" s="21"/>
      <c r="J6" s="21"/>
      <c r="K6" s="21"/>
      <c r="L6" s="21"/>
      <c r="M6" s="21"/>
      <c r="N6" s="21"/>
      <c r="O6" s="21"/>
      <c r="P6" s="21"/>
      <c r="Q6" s="21"/>
      <c r="R6" s="21"/>
      <c r="S6" s="21"/>
      <c r="T6" s="21"/>
    </row>
    <row r="7" spans="2:20" x14ac:dyDescent="0.35">
      <c r="E7" s="21"/>
      <c r="F7" s="21"/>
      <c r="G7" s="22"/>
      <c r="H7" s="23"/>
      <c r="I7" s="21"/>
      <c r="J7" s="21"/>
      <c r="K7" s="21"/>
      <c r="L7" s="21"/>
      <c r="M7" s="21"/>
      <c r="N7" s="21"/>
      <c r="O7" s="21"/>
      <c r="P7" s="21"/>
      <c r="Q7" s="21"/>
      <c r="R7" s="21"/>
      <c r="S7" s="21"/>
      <c r="T7" s="21"/>
    </row>
    <row r="8" spans="2:20" x14ac:dyDescent="0.35">
      <c r="E8" s="21"/>
      <c r="F8" s="21"/>
      <c r="G8" s="22"/>
      <c r="H8" s="23"/>
      <c r="I8" s="21"/>
      <c r="J8" s="21"/>
      <c r="K8" s="21"/>
      <c r="L8" s="21"/>
      <c r="M8" s="21"/>
      <c r="N8" s="21"/>
      <c r="O8" s="21"/>
      <c r="P8" s="21"/>
      <c r="Q8" s="21"/>
      <c r="R8" s="21"/>
      <c r="S8" s="21"/>
      <c r="T8" s="21"/>
    </row>
    <row r="9" spans="2:20" x14ac:dyDescent="0.35">
      <c r="E9" s="21"/>
      <c r="F9" s="21"/>
      <c r="G9" s="22"/>
      <c r="H9" s="23"/>
      <c r="I9" s="21"/>
      <c r="J9" s="21"/>
      <c r="K9" s="21"/>
      <c r="L9" s="21"/>
      <c r="M9" s="21"/>
      <c r="N9" s="21"/>
      <c r="O9" s="21"/>
      <c r="P9" s="21"/>
      <c r="Q9" s="21"/>
      <c r="R9" s="21"/>
      <c r="S9" s="21"/>
      <c r="T9" s="21"/>
    </row>
    <row r="10" spans="2:20" x14ac:dyDescent="0.35">
      <c r="E10" s="21"/>
      <c r="F10" s="21"/>
      <c r="G10" s="22"/>
      <c r="H10" s="23"/>
      <c r="I10" s="21"/>
      <c r="J10" s="21"/>
      <c r="K10" s="21"/>
      <c r="L10" s="21"/>
      <c r="M10" s="21"/>
      <c r="N10" s="21"/>
      <c r="O10" s="21"/>
      <c r="P10" s="21"/>
      <c r="Q10" s="21"/>
      <c r="R10" s="21"/>
      <c r="S10" s="21"/>
      <c r="T10" s="21"/>
    </row>
    <row r="11" spans="2:20" x14ac:dyDescent="0.35">
      <c r="E11" s="21"/>
      <c r="F11" s="21"/>
      <c r="G11" s="22"/>
      <c r="H11" s="23"/>
      <c r="I11" s="21"/>
      <c r="J11" s="21"/>
      <c r="K11" s="21"/>
      <c r="L11" s="21"/>
      <c r="M11" s="21"/>
      <c r="N11" s="21"/>
      <c r="O11" s="21"/>
      <c r="P11" s="21"/>
      <c r="Q11" s="21"/>
      <c r="R11" s="21"/>
      <c r="S11" s="21"/>
      <c r="T11" s="21"/>
    </row>
    <row r="12" spans="2:20" x14ac:dyDescent="0.35">
      <c r="E12" s="21"/>
      <c r="F12" s="21"/>
      <c r="G12" s="22"/>
      <c r="H12" s="23"/>
      <c r="I12" s="21"/>
      <c r="J12" s="21"/>
      <c r="K12" s="21"/>
      <c r="L12" s="21"/>
      <c r="M12" s="21"/>
      <c r="N12" s="21"/>
      <c r="O12" s="21"/>
      <c r="P12" s="21"/>
      <c r="Q12" s="21"/>
      <c r="R12" s="21"/>
      <c r="S12" s="21"/>
      <c r="T12" s="21"/>
    </row>
    <row r="13" spans="2:20" x14ac:dyDescent="0.35">
      <c r="E13" s="21"/>
      <c r="F13" s="21"/>
      <c r="G13" s="22"/>
      <c r="H13" s="23"/>
      <c r="I13" s="21"/>
      <c r="J13" s="21"/>
      <c r="K13" s="21"/>
      <c r="L13" s="21"/>
      <c r="M13" s="21"/>
      <c r="N13" s="21"/>
      <c r="O13" s="21"/>
      <c r="P13" s="21"/>
      <c r="Q13" s="21"/>
      <c r="R13" s="21"/>
      <c r="S13" s="21"/>
      <c r="T13" s="21"/>
    </row>
    <row r="14" spans="2:20" x14ac:dyDescent="0.35">
      <c r="E14" s="21"/>
      <c r="F14" s="21"/>
      <c r="G14" s="22"/>
      <c r="H14" s="23"/>
      <c r="I14" s="21"/>
      <c r="J14" s="21"/>
      <c r="K14" s="21"/>
      <c r="L14" s="21"/>
      <c r="M14" s="21"/>
      <c r="N14" s="21"/>
      <c r="O14" s="21"/>
      <c r="P14" s="21"/>
      <c r="Q14" s="21"/>
      <c r="R14" s="21"/>
      <c r="S14" s="21"/>
      <c r="T14" s="21"/>
    </row>
    <row r="15" spans="2:20" x14ac:dyDescent="0.35">
      <c r="E15" s="21"/>
      <c r="F15" s="21"/>
      <c r="G15" s="22"/>
      <c r="H15" s="23"/>
      <c r="I15" s="21"/>
      <c r="J15" s="21"/>
      <c r="K15" s="21"/>
      <c r="L15" s="21"/>
      <c r="M15" s="21"/>
      <c r="N15" s="21"/>
      <c r="O15" s="21"/>
      <c r="P15" s="21"/>
      <c r="Q15" s="21"/>
      <c r="R15" s="21"/>
      <c r="S15" s="21"/>
      <c r="T15" s="21"/>
    </row>
    <row r="16" spans="2:20" x14ac:dyDescent="0.35">
      <c r="E16" s="21"/>
      <c r="F16" s="21"/>
      <c r="G16" s="22"/>
      <c r="H16" s="23"/>
      <c r="I16" s="21"/>
      <c r="J16" s="21"/>
      <c r="K16" s="21"/>
      <c r="L16" s="21"/>
      <c r="M16" s="21"/>
      <c r="N16" s="21"/>
      <c r="O16" s="21"/>
      <c r="P16" s="21"/>
      <c r="Q16" s="21"/>
      <c r="R16" s="21"/>
      <c r="S16" s="21"/>
      <c r="T16" s="21"/>
    </row>
    <row r="17" spans="5:20" x14ac:dyDescent="0.35">
      <c r="E17" s="21"/>
      <c r="F17" s="21"/>
      <c r="G17" s="22"/>
      <c r="H17" s="23"/>
      <c r="I17" s="21"/>
      <c r="J17" s="21"/>
      <c r="K17" s="21"/>
      <c r="L17" s="21"/>
      <c r="M17" s="21"/>
      <c r="N17" s="21"/>
      <c r="O17" s="21"/>
      <c r="P17" s="21"/>
      <c r="Q17" s="21"/>
      <c r="R17" s="21"/>
      <c r="S17" s="21"/>
      <c r="T17" s="21"/>
    </row>
    <row r="18" spans="5:20" x14ac:dyDescent="0.35">
      <c r="E18" s="21"/>
      <c r="F18" s="21"/>
      <c r="G18" s="22"/>
      <c r="H18" s="23"/>
      <c r="I18" s="21"/>
      <c r="J18" s="21"/>
      <c r="K18" s="21"/>
      <c r="L18" s="21"/>
      <c r="M18" s="21"/>
      <c r="N18" s="21"/>
      <c r="O18" s="21"/>
      <c r="P18" s="21"/>
      <c r="Q18" s="21"/>
      <c r="R18" s="21"/>
      <c r="S18" s="21"/>
      <c r="T18" s="21"/>
    </row>
    <row r="19" spans="5:20" x14ac:dyDescent="0.35">
      <c r="E19" s="21"/>
      <c r="F19" s="21"/>
      <c r="G19" s="22"/>
      <c r="H19" s="23"/>
      <c r="I19" s="21"/>
      <c r="J19" s="21"/>
      <c r="K19" s="21"/>
      <c r="L19" s="21"/>
      <c r="M19" s="21"/>
      <c r="N19" s="21"/>
      <c r="O19" s="21"/>
      <c r="P19" s="21"/>
      <c r="Q19" s="21"/>
      <c r="R19" s="21"/>
      <c r="S19" s="21"/>
      <c r="T19" s="21"/>
    </row>
    <row r="20" spans="5:20" x14ac:dyDescent="0.35">
      <c r="E20" s="21"/>
      <c r="F20" s="21"/>
      <c r="G20" s="22"/>
      <c r="H20" s="23"/>
      <c r="I20" s="21"/>
      <c r="J20" s="21"/>
      <c r="K20" s="21"/>
      <c r="L20" s="21"/>
      <c r="M20" s="21"/>
      <c r="N20" s="21"/>
      <c r="O20" s="21"/>
      <c r="P20" s="21"/>
      <c r="Q20" s="21"/>
      <c r="R20" s="21"/>
      <c r="S20" s="21"/>
      <c r="T20" s="21"/>
    </row>
    <row r="21" spans="5:20" x14ac:dyDescent="0.35">
      <c r="E21" s="21"/>
      <c r="F21" s="21"/>
      <c r="G21" s="22"/>
      <c r="H21" s="23"/>
      <c r="I21" s="21"/>
      <c r="J21" s="21"/>
      <c r="K21" s="21"/>
      <c r="L21" s="21"/>
      <c r="M21" s="21"/>
      <c r="N21" s="21"/>
      <c r="O21" s="21"/>
      <c r="P21" s="21"/>
      <c r="Q21" s="21"/>
      <c r="R21" s="21"/>
      <c r="S21" s="21"/>
      <c r="T21" s="21"/>
    </row>
    <row r="22" spans="5:20" x14ac:dyDescent="0.35">
      <c r="E22" s="21"/>
      <c r="F22" s="21"/>
      <c r="G22" s="22"/>
      <c r="H22" s="23"/>
      <c r="I22" s="21"/>
      <c r="J22" s="21"/>
      <c r="K22" s="21"/>
      <c r="L22" s="21"/>
      <c r="M22" s="21"/>
      <c r="N22" s="21"/>
      <c r="O22" s="21"/>
      <c r="P22" s="21"/>
      <c r="Q22" s="21"/>
      <c r="R22" s="21"/>
      <c r="S22" s="21"/>
      <c r="T22" s="21"/>
    </row>
    <row r="23" spans="5:20" x14ac:dyDescent="0.35">
      <c r="E23" s="21"/>
      <c r="F23" s="21"/>
      <c r="G23" s="22"/>
      <c r="H23" s="23"/>
      <c r="I23" s="21"/>
      <c r="J23" s="21"/>
      <c r="K23" s="21"/>
      <c r="L23" s="21"/>
      <c r="M23" s="21"/>
      <c r="N23" s="21"/>
      <c r="O23" s="21"/>
      <c r="P23" s="21"/>
      <c r="Q23" s="21"/>
      <c r="R23" s="21"/>
      <c r="S23" s="21"/>
      <c r="T23" s="21"/>
    </row>
    <row r="24" spans="5:20" x14ac:dyDescent="0.35">
      <c r="E24" s="21"/>
      <c r="F24" s="21"/>
      <c r="G24" s="22"/>
      <c r="H24" s="23"/>
      <c r="I24" s="21"/>
      <c r="J24" s="21"/>
      <c r="K24" s="21"/>
      <c r="L24" s="21"/>
      <c r="M24" s="21"/>
      <c r="N24" s="21"/>
      <c r="O24" s="21"/>
      <c r="P24" s="21"/>
      <c r="Q24" s="21"/>
      <c r="R24" s="21"/>
      <c r="S24" s="21"/>
      <c r="T24" s="21"/>
    </row>
    <row r="25" spans="5:20" x14ac:dyDescent="0.35">
      <c r="E25" s="21"/>
      <c r="F25" s="21"/>
      <c r="G25" s="22"/>
      <c r="H25" s="23"/>
      <c r="I25" s="21"/>
      <c r="J25" s="21"/>
      <c r="K25" s="21"/>
      <c r="L25" s="21"/>
      <c r="M25" s="21"/>
      <c r="N25" s="21"/>
      <c r="O25" s="21"/>
      <c r="P25" s="21"/>
      <c r="Q25" s="21"/>
      <c r="R25" s="21"/>
      <c r="S25" s="21"/>
      <c r="T25" s="21"/>
    </row>
    <row r="26" spans="5:20" x14ac:dyDescent="0.35">
      <c r="E26" s="21"/>
      <c r="F26" s="21"/>
      <c r="G26" s="22"/>
      <c r="H26" s="23"/>
      <c r="I26" s="21"/>
      <c r="J26" s="21"/>
      <c r="K26" s="21"/>
      <c r="L26" s="21"/>
      <c r="M26" s="21"/>
      <c r="N26" s="21"/>
      <c r="O26" s="21"/>
      <c r="P26" s="21"/>
      <c r="Q26" s="21"/>
      <c r="R26" s="21"/>
      <c r="S26" s="21"/>
      <c r="T26" s="21"/>
    </row>
    <row r="27" spans="5:20" x14ac:dyDescent="0.35">
      <c r="E27" s="21"/>
      <c r="F27" s="21"/>
      <c r="G27" s="22"/>
      <c r="H27" s="23"/>
      <c r="I27" s="21"/>
      <c r="J27" s="21"/>
      <c r="K27" s="21"/>
      <c r="L27" s="21"/>
      <c r="M27" s="21"/>
      <c r="N27" s="21"/>
      <c r="O27" s="21"/>
      <c r="P27" s="21"/>
      <c r="Q27" s="21"/>
      <c r="R27" s="21"/>
      <c r="S27" s="21"/>
      <c r="T27" s="21"/>
    </row>
    <row r="28" spans="5:20" x14ac:dyDescent="0.35">
      <c r="E28" s="21"/>
      <c r="F28" s="21"/>
      <c r="G28" s="22"/>
      <c r="H28" s="23"/>
      <c r="I28" s="21"/>
      <c r="J28" s="21"/>
      <c r="K28" s="21"/>
      <c r="L28" s="21"/>
      <c r="M28" s="21"/>
      <c r="N28" s="21"/>
      <c r="O28" s="21"/>
      <c r="P28" s="21"/>
      <c r="Q28" s="21"/>
      <c r="R28" s="21"/>
      <c r="S28" s="21"/>
      <c r="T28" s="21"/>
    </row>
    <row r="29" spans="5:20" x14ac:dyDescent="0.35">
      <c r="E29" s="21"/>
      <c r="F29" s="21"/>
      <c r="G29" s="22"/>
      <c r="H29" s="23"/>
      <c r="I29" s="21"/>
      <c r="J29" s="21"/>
      <c r="K29" s="21"/>
      <c r="L29" s="21"/>
      <c r="M29" s="21"/>
      <c r="N29" s="21"/>
      <c r="O29" s="21"/>
      <c r="P29" s="21"/>
      <c r="Q29" s="21"/>
      <c r="R29" s="21"/>
      <c r="S29" s="21"/>
      <c r="T29" s="21"/>
    </row>
    <row r="30" spans="5:20" x14ac:dyDescent="0.35">
      <c r="E30" s="21"/>
      <c r="F30" s="21"/>
      <c r="G30" s="22"/>
      <c r="H30" s="23"/>
      <c r="I30" s="21"/>
      <c r="J30" s="21"/>
      <c r="K30" s="21"/>
      <c r="L30" s="21"/>
      <c r="M30" s="21"/>
      <c r="N30" s="21"/>
      <c r="O30" s="21"/>
      <c r="P30" s="21"/>
      <c r="Q30" s="21"/>
      <c r="R30" s="21"/>
      <c r="S30" s="21"/>
      <c r="T30" s="21"/>
    </row>
    <row r="31" spans="5:20" x14ac:dyDescent="0.35">
      <c r="E31" s="21"/>
      <c r="F31" s="21"/>
      <c r="G31" s="22"/>
      <c r="H31" s="23"/>
      <c r="I31" s="21"/>
      <c r="J31" s="21"/>
      <c r="K31" s="21"/>
      <c r="L31" s="21"/>
      <c r="M31" s="21"/>
      <c r="N31" s="21"/>
      <c r="O31" s="21"/>
      <c r="P31" s="21"/>
      <c r="Q31" s="21"/>
      <c r="R31" s="21"/>
      <c r="S31" s="21"/>
      <c r="T31" s="21"/>
    </row>
    <row r="32" spans="5:20" x14ac:dyDescent="0.35">
      <c r="E32" s="21"/>
      <c r="F32" s="21"/>
      <c r="G32" s="22"/>
      <c r="H32" s="23"/>
      <c r="I32" s="21"/>
      <c r="J32" s="21"/>
      <c r="K32" s="21"/>
      <c r="L32" s="21"/>
      <c r="M32" s="21"/>
      <c r="N32" s="21"/>
      <c r="O32" s="21"/>
      <c r="P32" s="21"/>
      <c r="Q32" s="21"/>
      <c r="R32" s="21"/>
      <c r="S32" s="21"/>
      <c r="T32" s="21"/>
    </row>
    <row r="33" spans="5:20" x14ac:dyDescent="0.35">
      <c r="E33" s="21"/>
      <c r="F33" s="21"/>
      <c r="G33" s="22"/>
      <c r="H33" s="23"/>
      <c r="I33" s="21"/>
      <c r="J33" s="21"/>
      <c r="K33" s="21"/>
      <c r="L33" s="21"/>
      <c r="M33" s="21"/>
      <c r="N33" s="21"/>
      <c r="O33" s="21"/>
      <c r="P33" s="21"/>
      <c r="Q33" s="21"/>
      <c r="R33" s="21"/>
      <c r="S33" s="21"/>
      <c r="T33" s="21"/>
    </row>
    <row r="34" spans="5:20" x14ac:dyDescent="0.35">
      <c r="E34" s="21"/>
      <c r="F34" s="21"/>
      <c r="G34" s="22"/>
      <c r="H34" s="23"/>
      <c r="I34" s="21"/>
      <c r="J34" s="21"/>
      <c r="K34" s="21"/>
      <c r="L34" s="21"/>
      <c r="M34" s="21"/>
      <c r="N34" s="21"/>
      <c r="O34" s="21"/>
      <c r="P34" s="21"/>
      <c r="Q34" s="21"/>
      <c r="R34" s="21"/>
      <c r="S34" s="21"/>
      <c r="T34" s="21"/>
    </row>
    <row r="35" spans="5:20" x14ac:dyDescent="0.35">
      <c r="E35" s="21"/>
      <c r="F35" s="21"/>
      <c r="G35" s="22"/>
      <c r="H35" s="23" t="s">
        <v>14</v>
      </c>
      <c r="I35" s="21"/>
      <c r="J35" s="21"/>
      <c r="K35" s="21"/>
      <c r="L35" s="21"/>
      <c r="M35" s="21"/>
      <c r="N35" s="21"/>
      <c r="O35" s="21"/>
      <c r="P35" s="21"/>
      <c r="Q35" s="21"/>
      <c r="R35" s="21"/>
      <c r="S35" s="21"/>
      <c r="T35" s="21"/>
    </row>
    <row r="36" spans="5:20" x14ac:dyDescent="0.35">
      <c r="E36" s="21"/>
      <c r="F36" s="21"/>
      <c r="G36" s="22"/>
      <c r="H36" s="23"/>
      <c r="I36" s="21"/>
      <c r="J36" s="21"/>
      <c r="K36" s="21"/>
      <c r="L36" s="21"/>
      <c r="M36" s="21"/>
      <c r="N36" s="21"/>
      <c r="O36" s="21"/>
      <c r="P36" s="21"/>
      <c r="Q36" s="21"/>
      <c r="R36" s="21"/>
      <c r="S36" s="21"/>
      <c r="T36" s="21"/>
    </row>
    <row r="37" spans="5:20" x14ac:dyDescent="0.35">
      <c r="E37" s="21"/>
      <c r="F37" s="21"/>
      <c r="G37" s="22"/>
      <c r="H37" s="23"/>
      <c r="I37" s="21"/>
      <c r="J37" s="21"/>
      <c r="K37" s="21"/>
      <c r="L37" s="21"/>
      <c r="M37" s="21"/>
      <c r="N37" s="21"/>
      <c r="O37" s="21"/>
      <c r="P37" s="21"/>
      <c r="Q37" s="21"/>
      <c r="R37" s="21"/>
      <c r="S37" s="21"/>
      <c r="T37" s="21"/>
    </row>
    <row r="38" spans="5:20" x14ac:dyDescent="0.35">
      <c r="E38" s="21"/>
      <c r="F38" s="21"/>
      <c r="G38" s="22"/>
      <c r="H38" s="23"/>
      <c r="I38" s="21"/>
      <c r="J38" s="21"/>
      <c r="K38" s="21"/>
      <c r="L38" s="21"/>
      <c r="M38" s="21"/>
      <c r="N38" s="21"/>
      <c r="O38" s="21"/>
      <c r="P38" s="21"/>
      <c r="Q38" s="21"/>
      <c r="R38" s="21"/>
      <c r="S38" s="21"/>
      <c r="T38" s="21"/>
    </row>
    <row r="39" spans="5:20" x14ac:dyDescent="0.35">
      <c r="E39" s="21"/>
      <c r="F39" s="21"/>
      <c r="G39" s="22"/>
      <c r="H39" s="23"/>
      <c r="I39" s="21"/>
      <c r="J39" s="21"/>
      <c r="K39" s="21"/>
      <c r="L39" s="21"/>
      <c r="M39" s="21"/>
      <c r="N39" s="21"/>
      <c r="O39" s="21"/>
      <c r="P39" s="21"/>
      <c r="Q39" s="21"/>
      <c r="R39" s="21"/>
      <c r="S39" s="21"/>
      <c r="T39" s="21"/>
    </row>
    <row r="40" spans="5:20" x14ac:dyDescent="0.35">
      <c r="E40" s="21"/>
      <c r="F40" s="21"/>
      <c r="G40" s="22"/>
      <c r="H40" s="23"/>
      <c r="I40" s="21"/>
      <c r="J40" s="21"/>
      <c r="K40" s="21"/>
      <c r="L40" s="21"/>
      <c r="M40" s="21"/>
      <c r="N40" s="21"/>
      <c r="O40" s="21"/>
      <c r="P40" s="21"/>
      <c r="Q40" s="21"/>
      <c r="R40" s="21"/>
      <c r="S40" s="21"/>
      <c r="T40" s="21"/>
    </row>
    <row r="41" spans="5:20" x14ac:dyDescent="0.35">
      <c r="E41" s="21"/>
      <c r="F41" s="21"/>
      <c r="G41" s="22"/>
      <c r="H41" s="23"/>
      <c r="I41" s="21"/>
      <c r="J41" s="21"/>
      <c r="K41" s="21"/>
      <c r="L41" s="21"/>
      <c r="M41" s="21"/>
      <c r="N41" s="21"/>
      <c r="O41" s="21"/>
      <c r="P41" s="21"/>
      <c r="Q41" s="21"/>
      <c r="R41" s="21"/>
      <c r="S41" s="21"/>
      <c r="T41" s="21"/>
    </row>
    <row r="42" spans="5:20" x14ac:dyDescent="0.35">
      <c r="E42" s="21"/>
      <c r="F42" s="21"/>
      <c r="G42" s="22"/>
      <c r="H42" s="23"/>
      <c r="I42" s="21"/>
      <c r="J42" s="21"/>
      <c r="K42" s="21"/>
      <c r="L42" s="21"/>
      <c r="M42" s="21"/>
      <c r="N42" s="21"/>
      <c r="O42" s="21"/>
      <c r="P42" s="21"/>
      <c r="Q42" s="21"/>
      <c r="R42" s="21"/>
      <c r="S42" s="21"/>
      <c r="T42" s="21"/>
    </row>
    <row r="43" spans="5:20" x14ac:dyDescent="0.35">
      <c r="E43" s="21"/>
      <c r="F43" s="21"/>
      <c r="G43" s="22"/>
      <c r="H43" s="23"/>
      <c r="I43" s="21"/>
      <c r="J43" s="21"/>
      <c r="K43" s="21"/>
      <c r="L43" s="21"/>
      <c r="M43" s="21"/>
      <c r="N43" s="21"/>
      <c r="O43" s="21"/>
      <c r="P43" s="21"/>
      <c r="Q43" s="21"/>
      <c r="R43" s="21"/>
      <c r="S43" s="21"/>
      <c r="T43" s="21"/>
    </row>
    <row r="44" spans="5:20" x14ac:dyDescent="0.35">
      <c r="E44" s="21"/>
      <c r="F44" s="21"/>
      <c r="G44" s="22"/>
      <c r="H44" s="23"/>
      <c r="I44" s="21"/>
      <c r="J44" s="21"/>
      <c r="K44" s="21"/>
      <c r="L44" s="21"/>
      <c r="M44" s="21"/>
      <c r="N44" s="21"/>
      <c r="O44" s="21"/>
      <c r="P44" s="21"/>
      <c r="Q44" s="21"/>
      <c r="R44" s="21"/>
      <c r="S44" s="21"/>
      <c r="T44" s="21"/>
    </row>
    <row r="45" spans="5:20" x14ac:dyDescent="0.35">
      <c r="E45" s="21"/>
      <c r="F45" s="21"/>
      <c r="G45" s="22"/>
      <c r="H45" s="23"/>
      <c r="I45" s="21"/>
      <c r="J45" s="21"/>
      <c r="K45" s="21"/>
      <c r="L45" s="21"/>
      <c r="M45" s="21"/>
      <c r="N45" s="21"/>
      <c r="O45" s="21"/>
      <c r="P45" s="21"/>
      <c r="Q45" s="21"/>
      <c r="R45" s="21"/>
      <c r="S45" s="21"/>
      <c r="T45" s="21"/>
    </row>
    <row r="46" spans="5:20" x14ac:dyDescent="0.35">
      <c r="E46" s="21"/>
      <c r="F46" s="21"/>
      <c r="G46" s="22"/>
      <c r="H46" s="23"/>
      <c r="I46" s="21"/>
      <c r="J46" s="21"/>
      <c r="K46" s="21"/>
      <c r="L46" s="21"/>
      <c r="M46" s="21"/>
      <c r="N46" s="21"/>
      <c r="O46" s="21"/>
      <c r="P46" s="21"/>
      <c r="Q46" s="21"/>
      <c r="R46" s="21"/>
      <c r="S46" s="21"/>
      <c r="T46" s="21"/>
    </row>
    <row r="47" spans="5:20" x14ac:dyDescent="0.35">
      <c r="E47" s="21"/>
      <c r="F47" s="21"/>
      <c r="G47" s="22"/>
      <c r="H47" s="23"/>
      <c r="I47" s="21"/>
      <c r="J47" s="21"/>
      <c r="K47" s="21"/>
      <c r="L47" s="21"/>
      <c r="M47" s="21"/>
      <c r="N47" s="21"/>
      <c r="O47" s="21"/>
      <c r="P47" s="21"/>
      <c r="Q47" s="21"/>
      <c r="R47" s="21"/>
      <c r="S47" s="21"/>
      <c r="T47" s="21"/>
    </row>
    <row r="48" spans="5:20" x14ac:dyDescent="0.35">
      <c r="E48" s="21"/>
      <c r="F48" s="21"/>
      <c r="G48" s="22"/>
      <c r="H48" s="23"/>
      <c r="I48" s="21"/>
      <c r="J48" s="21"/>
      <c r="K48" s="21"/>
      <c r="L48" s="21"/>
      <c r="M48" s="21"/>
      <c r="N48" s="21"/>
      <c r="O48" s="21"/>
      <c r="P48" s="21"/>
      <c r="Q48" s="21"/>
      <c r="R48" s="21"/>
      <c r="S48" s="21"/>
      <c r="T48" s="21"/>
    </row>
    <row r="49" spans="2:20" x14ac:dyDescent="0.35">
      <c r="E49" s="21"/>
      <c r="F49" s="21"/>
      <c r="G49" s="22"/>
      <c r="H49" s="23"/>
      <c r="I49" s="21"/>
      <c r="J49" s="21"/>
      <c r="K49" s="21"/>
      <c r="L49" s="21"/>
      <c r="M49" s="21"/>
      <c r="N49" s="21"/>
      <c r="O49" s="21"/>
      <c r="P49" s="21"/>
      <c r="Q49" s="21"/>
      <c r="R49" s="21"/>
      <c r="S49" s="21"/>
      <c r="T49" s="21"/>
    </row>
    <row r="50" spans="2:20" x14ac:dyDescent="0.35">
      <c r="E50" s="21"/>
      <c r="F50" s="21"/>
      <c r="G50" s="22"/>
      <c r="H50" s="23"/>
      <c r="I50" s="21"/>
      <c r="J50" s="21"/>
      <c r="K50" s="21"/>
      <c r="L50" s="21"/>
      <c r="M50" s="21"/>
      <c r="N50" s="21"/>
      <c r="O50" s="21"/>
      <c r="P50" s="21"/>
      <c r="Q50" s="21"/>
      <c r="R50" s="21"/>
      <c r="S50" s="21"/>
      <c r="T50" s="21"/>
    </row>
    <row r="51" spans="2:20" x14ac:dyDescent="0.35">
      <c r="E51" s="21"/>
      <c r="F51" s="21"/>
      <c r="G51" s="22"/>
      <c r="H51" s="23"/>
      <c r="I51" s="21"/>
      <c r="J51" s="21"/>
      <c r="K51" s="21"/>
      <c r="L51" s="21"/>
      <c r="M51" s="21"/>
      <c r="N51" s="21"/>
      <c r="O51" s="21"/>
      <c r="P51" s="21"/>
      <c r="Q51" s="21"/>
      <c r="R51" s="21"/>
      <c r="S51" s="21"/>
      <c r="T51" s="21"/>
    </row>
    <row r="52" spans="2:20" x14ac:dyDescent="0.35">
      <c r="E52" s="21"/>
      <c r="F52" s="21"/>
      <c r="G52" s="22"/>
      <c r="H52" s="23"/>
      <c r="I52" s="21"/>
      <c r="J52" s="21"/>
      <c r="K52" s="21"/>
      <c r="L52" s="21"/>
      <c r="M52" s="21"/>
      <c r="N52" s="21"/>
      <c r="O52" s="21"/>
      <c r="P52" s="21"/>
      <c r="Q52" s="21"/>
      <c r="R52" s="21"/>
      <c r="S52" s="21"/>
      <c r="T52" s="21"/>
    </row>
    <row r="53" spans="2:20" x14ac:dyDescent="0.35">
      <c r="E53" s="21"/>
      <c r="F53" s="21"/>
      <c r="G53" s="22"/>
      <c r="H53" s="23"/>
      <c r="I53" s="21"/>
      <c r="J53" s="21"/>
      <c r="K53" s="21"/>
      <c r="L53" s="21"/>
      <c r="M53" s="21"/>
      <c r="N53" s="21"/>
      <c r="O53" s="21"/>
      <c r="P53" s="21"/>
      <c r="Q53" s="21"/>
      <c r="R53" s="21"/>
      <c r="S53" s="21"/>
      <c r="T53" s="21"/>
    </row>
    <row r="54" spans="2:20" x14ac:dyDescent="0.35">
      <c r="E54" s="21"/>
      <c r="F54" s="21"/>
      <c r="G54" s="22"/>
      <c r="H54" s="23"/>
      <c r="I54" s="21"/>
      <c r="J54" s="21"/>
      <c r="K54" s="21"/>
      <c r="L54" s="21"/>
      <c r="M54" s="21"/>
      <c r="N54" s="21"/>
      <c r="O54" s="21"/>
      <c r="P54" s="21"/>
      <c r="Q54" s="21"/>
      <c r="R54" s="21"/>
      <c r="S54" s="21"/>
      <c r="T54" s="21"/>
    </row>
    <row r="55" spans="2:20" x14ac:dyDescent="0.35">
      <c r="E55" s="21"/>
      <c r="F55" s="21"/>
      <c r="G55" s="22"/>
      <c r="H55" s="23"/>
      <c r="I55" s="21"/>
      <c r="J55" s="21"/>
      <c r="K55" s="21"/>
      <c r="L55" s="21"/>
      <c r="M55" s="21"/>
      <c r="N55" s="21"/>
      <c r="O55" s="21"/>
      <c r="P55" s="21"/>
      <c r="Q55" s="21"/>
      <c r="R55" s="21"/>
      <c r="S55" s="21"/>
      <c r="T55" s="21"/>
    </row>
    <row r="56" spans="2:20" x14ac:dyDescent="0.35">
      <c r="E56" s="21"/>
      <c r="F56" s="21"/>
      <c r="G56" s="22"/>
      <c r="H56" s="23"/>
      <c r="I56" s="21"/>
      <c r="J56" s="21"/>
      <c r="K56" s="21"/>
      <c r="L56" s="21"/>
      <c r="M56" s="21"/>
      <c r="N56" s="21"/>
      <c r="O56" s="21"/>
      <c r="P56" s="21"/>
      <c r="Q56" s="21"/>
      <c r="R56" s="21"/>
      <c r="S56" s="21"/>
      <c r="T56" s="21"/>
    </row>
    <row r="57" spans="2:20" x14ac:dyDescent="0.35">
      <c r="B57" s="20"/>
      <c r="C57" s="20"/>
      <c r="E57" s="21"/>
      <c r="F57" s="21"/>
      <c r="G57" s="21"/>
      <c r="H57" s="21"/>
      <c r="I57" s="21"/>
      <c r="J57" s="21"/>
      <c r="K57" s="21"/>
      <c r="L57" s="21"/>
      <c r="M57" s="21"/>
      <c r="N57" s="21"/>
      <c r="O57" s="21"/>
      <c r="P57" s="21"/>
      <c r="Q57" s="21"/>
      <c r="R57" s="21"/>
      <c r="S57" s="21"/>
      <c r="T57" s="21"/>
    </row>
    <row r="58" spans="2:20" x14ac:dyDescent="0.35">
      <c r="B58" s="20"/>
      <c r="C58" s="20"/>
      <c r="E58" s="21"/>
      <c r="F58" s="21"/>
      <c r="G58" s="21"/>
      <c r="H58" s="21"/>
      <c r="I58" s="21"/>
      <c r="J58" s="21"/>
      <c r="K58" s="21"/>
      <c r="L58" s="21"/>
      <c r="M58" s="21"/>
      <c r="N58" s="21"/>
      <c r="O58" s="21"/>
      <c r="P58" s="21"/>
      <c r="Q58" s="21"/>
      <c r="R58" s="21"/>
      <c r="S58" s="21"/>
      <c r="T58" s="21"/>
    </row>
    <row r="59" spans="2:20" x14ac:dyDescent="0.35">
      <c r="B59" s="20"/>
      <c r="C59" s="20"/>
      <c r="E59" s="21"/>
      <c r="F59" s="21"/>
      <c r="G59" s="21"/>
      <c r="H59" s="21"/>
      <c r="I59" s="21"/>
      <c r="J59" s="21"/>
      <c r="K59" s="21"/>
      <c r="L59" s="21"/>
      <c r="M59" s="21"/>
      <c r="N59" s="21"/>
      <c r="O59" s="21"/>
      <c r="P59" s="21"/>
      <c r="Q59" s="21"/>
      <c r="R59" s="21"/>
      <c r="S59" s="21"/>
      <c r="T59" s="21"/>
    </row>
    <row r="60" spans="2:20" x14ac:dyDescent="0.35">
      <c r="B60" s="20"/>
      <c r="C60" s="20"/>
      <c r="E60" s="21"/>
      <c r="F60" s="21"/>
      <c r="G60" s="21"/>
      <c r="H60" s="21"/>
      <c r="I60" s="21"/>
      <c r="J60" s="21"/>
      <c r="K60" s="21"/>
      <c r="L60" s="21"/>
      <c r="M60" s="21"/>
      <c r="N60" s="21"/>
      <c r="O60" s="21"/>
      <c r="P60" s="21"/>
      <c r="Q60" s="21"/>
      <c r="R60" s="21"/>
      <c r="S60" s="21"/>
      <c r="T60" s="21"/>
    </row>
    <row r="61" spans="2:20" x14ac:dyDescent="0.35">
      <c r="B61" s="20"/>
      <c r="C61" s="20"/>
      <c r="E61" s="21"/>
      <c r="F61" s="21"/>
      <c r="G61" s="21"/>
      <c r="H61" s="21"/>
      <c r="I61" s="21"/>
      <c r="J61" s="21"/>
      <c r="K61" s="21"/>
      <c r="L61" s="21"/>
      <c r="M61" s="21"/>
      <c r="N61" s="21"/>
      <c r="O61" s="21"/>
      <c r="P61" s="21"/>
      <c r="Q61" s="21"/>
      <c r="R61" s="21"/>
      <c r="S61" s="21"/>
      <c r="T61" s="21"/>
    </row>
    <row r="62" spans="2:20" x14ac:dyDescent="0.35">
      <c r="E62" s="21"/>
      <c r="F62" s="21"/>
      <c r="G62" s="22"/>
      <c r="H62" s="23"/>
      <c r="I62" s="21"/>
      <c r="J62" s="21"/>
      <c r="K62" s="21"/>
      <c r="L62" s="21"/>
      <c r="M62" s="21"/>
      <c r="N62" s="21"/>
      <c r="O62" s="21"/>
      <c r="P62" s="21"/>
      <c r="Q62" s="21"/>
      <c r="R62" s="21"/>
      <c r="S62" s="21"/>
      <c r="T62" s="21"/>
    </row>
    <row r="63" spans="2:20" x14ac:dyDescent="0.35">
      <c r="E63" s="21"/>
      <c r="F63" s="21"/>
      <c r="G63" s="22"/>
      <c r="H63" s="23"/>
      <c r="I63" s="21"/>
      <c r="J63" s="21"/>
      <c r="K63" s="21"/>
      <c r="L63" s="21"/>
      <c r="M63" s="21"/>
      <c r="N63" s="21"/>
      <c r="O63" s="21"/>
      <c r="P63" s="21"/>
      <c r="Q63" s="21"/>
      <c r="R63" s="21"/>
      <c r="S63" s="21"/>
      <c r="T63" s="21"/>
    </row>
    <row r="64" spans="2:20" x14ac:dyDescent="0.35">
      <c r="E64" s="21"/>
      <c r="F64" s="21"/>
      <c r="G64" s="22"/>
      <c r="H64" s="23"/>
      <c r="I64" s="21"/>
      <c r="J64" s="21"/>
      <c r="K64" s="21"/>
      <c r="L64" s="21"/>
      <c r="M64" s="21"/>
      <c r="N64" s="21"/>
      <c r="O64" s="21"/>
      <c r="P64" s="21"/>
      <c r="Q64" s="21"/>
      <c r="R64" s="21"/>
      <c r="S64" s="21"/>
      <c r="T64" s="21"/>
    </row>
    <row r="65" spans="5:20" x14ac:dyDescent="0.35">
      <c r="E65" s="21"/>
      <c r="F65" s="21"/>
      <c r="G65" s="22"/>
      <c r="H65" s="23"/>
      <c r="I65" s="21"/>
      <c r="J65" s="21"/>
      <c r="K65" s="21"/>
      <c r="L65" s="21"/>
      <c r="M65" s="21"/>
      <c r="N65" s="21"/>
      <c r="O65" s="21"/>
      <c r="P65" s="21"/>
      <c r="Q65" s="21"/>
      <c r="R65" s="21"/>
      <c r="S65" s="21"/>
      <c r="T65" s="21"/>
    </row>
    <row r="66" spans="5:20" x14ac:dyDescent="0.35">
      <c r="E66" s="21"/>
      <c r="F66" s="21"/>
      <c r="G66" s="22"/>
      <c r="H66" s="23"/>
      <c r="I66" s="21"/>
      <c r="J66" s="21"/>
      <c r="K66" s="21"/>
      <c r="L66" s="21"/>
      <c r="M66" s="21"/>
      <c r="N66" s="21"/>
      <c r="O66" s="21"/>
      <c r="P66" s="21"/>
      <c r="Q66" s="21"/>
      <c r="R66" s="21"/>
      <c r="S66" s="21"/>
      <c r="T66" s="21"/>
    </row>
    <row r="67" spans="5:20" x14ac:dyDescent="0.35">
      <c r="E67" s="21"/>
      <c r="F67" s="21"/>
      <c r="G67" s="22"/>
      <c r="H67" s="23"/>
      <c r="I67" s="21"/>
      <c r="J67" s="21"/>
      <c r="K67" s="21"/>
      <c r="L67" s="21"/>
      <c r="M67" s="21"/>
      <c r="N67" s="21"/>
      <c r="O67" s="21"/>
      <c r="P67" s="21"/>
      <c r="Q67" s="21"/>
      <c r="R67" s="21"/>
      <c r="S67" s="21"/>
      <c r="T67" s="21"/>
    </row>
    <row r="68" spans="5:20" x14ac:dyDescent="0.35">
      <c r="E68" s="21"/>
      <c r="F68" s="21"/>
      <c r="G68" s="22"/>
      <c r="H68" s="23"/>
      <c r="I68" s="21"/>
      <c r="J68" s="21"/>
      <c r="K68" s="21"/>
      <c r="L68" s="21"/>
      <c r="M68" s="21"/>
      <c r="N68" s="21"/>
      <c r="O68" s="21"/>
      <c r="P68" s="21"/>
      <c r="Q68" s="21"/>
      <c r="R68" s="21"/>
      <c r="S68" s="21"/>
      <c r="T68" s="21"/>
    </row>
    <row r="69" spans="5:20" x14ac:dyDescent="0.35">
      <c r="E69" s="21"/>
      <c r="F69" s="21"/>
      <c r="G69" s="22"/>
      <c r="H69" s="23"/>
      <c r="I69" s="21"/>
      <c r="J69" s="21"/>
      <c r="K69" s="21"/>
      <c r="L69" s="21"/>
      <c r="M69" s="21"/>
      <c r="N69" s="21"/>
      <c r="O69" s="21"/>
      <c r="P69" s="21"/>
      <c r="Q69" s="21"/>
      <c r="R69" s="21"/>
      <c r="S69" s="21"/>
      <c r="T69" s="21"/>
    </row>
    <row r="70" spans="5:20" x14ac:dyDescent="0.35">
      <c r="E70" s="21"/>
      <c r="F70" s="21"/>
      <c r="G70" s="22"/>
      <c r="H70" s="23"/>
      <c r="I70" s="21"/>
      <c r="J70" s="21"/>
      <c r="K70" s="21"/>
      <c r="L70" s="21"/>
      <c r="M70" s="21"/>
      <c r="N70" s="21"/>
      <c r="O70" s="21"/>
      <c r="P70" s="21"/>
      <c r="Q70" s="21"/>
      <c r="R70" s="21"/>
      <c r="S70" s="21"/>
      <c r="T70" s="21"/>
    </row>
    <row r="71" spans="5:20" x14ac:dyDescent="0.35">
      <c r="E71" s="21"/>
      <c r="F71" s="21"/>
      <c r="G71" s="22"/>
      <c r="H71" s="23"/>
      <c r="I71" s="21"/>
      <c r="J71" s="21"/>
      <c r="K71" s="21"/>
      <c r="L71" s="21"/>
      <c r="M71" s="21"/>
      <c r="N71" s="21"/>
      <c r="O71" s="21"/>
      <c r="P71" s="21"/>
      <c r="Q71" s="21"/>
      <c r="R71" s="21"/>
      <c r="S71" s="21"/>
      <c r="T71" s="21"/>
    </row>
    <row r="72" spans="5:20" x14ac:dyDescent="0.35">
      <c r="E72" s="21"/>
      <c r="F72" s="21"/>
      <c r="G72" s="22"/>
      <c r="H72" s="23"/>
      <c r="I72" s="21"/>
      <c r="J72" s="21"/>
      <c r="K72" s="21"/>
      <c r="L72" s="21"/>
      <c r="M72" s="21"/>
      <c r="N72" s="21"/>
      <c r="O72" s="21"/>
      <c r="P72" s="21"/>
      <c r="Q72" s="21"/>
      <c r="R72" s="21"/>
      <c r="S72" s="21"/>
      <c r="T72" s="21"/>
    </row>
    <row r="73" spans="5:20" x14ac:dyDescent="0.35">
      <c r="E73" s="21"/>
      <c r="F73" s="21"/>
      <c r="G73" s="22"/>
      <c r="H73" s="23"/>
      <c r="I73" s="21"/>
      <c r="J73" s="21"/>
      <c r="K73" s="21"/>
      <c r="L73" s="21"/>
      <c r="M73" s="21"/>
      <c r="N73" s="21"/>
      <c r="O73" s="21"/>
      <c r="P73" s="21"/>
      <c r="Q73" s="21"/>
      <c r="R73" s="21"/>
      <c r="S73" s="21"/>
      <c r="T73" s="21"/>
    </row>
    <row r="74" spans="5:20" x14ac:dyDescent="0.35">
      <c r="E74" s="21"/>
      <c r="F74" s="21"/>
      <c r="G74" s="22"/>
      <c r="H74" s="23"/>
      <c r="I74" s="21"/>
      <c r="J74" s="21"/>
      <c r="K74" s="21"/>
      <c r="L74" s="21"/>
      <c r="M74" s="21"/>
      <c r="N74" s="21"/>
      <c r="O74" s="21"/>
      <c r="P74" s="21"/>
      <c r="Q74" s="21"/>
      <c r="R74" s="21"/>
      <c r="S74" s="21"/>
      <c r="T74" s="21"/>
    </row>
    <row r="75" spans="5:20" x14ac:dyDescent="0.35">
      <c r="E75" s="21"/>
      <c r="F75" s="21"/>
      <c r="G75" s="22"/>
      <c r="H75" s="23"/>
      <c r="I75" s="21"/>
      <c r="J75" s="21"/>
      <c r="K75" s="21"/>
      <c r="L75" s="21"/>
      <c r="M75" s="21"/>
      <c r="N75" s="21"/>
      <c r="O75" s="21"/>
      <c r="P75" s="21"/>
      <c r="Q75" s="21"/>
      <c r="R75" s="21"/>
      <c r="S75" s="21"/>
      <c r="T75" s="21"/>
    </row>
    <row r="76" spans="5:20" x14ac:dyDescent="0.35">
      <c r="E76" s="21"/>
      <c r="F76" s="21"/>
      <c r="G76" s="22"/>
      <c r="H76" s="23"/>
      <c r="I76" s="21"/>
      <c r="J76" s="21"/>
      <c r="K76" s="21"/>
      <c r="L76" s="21"/>
      <c r="M76" s="21"/>
      <c r="N76" s="21"/>
      <c r="O76" s="21"/>
      <c r="P76" s="21"/>
      <c r="Q76" s="21"/>
      <c r="R76" s="21"/>
      <c r="S76" s="21"/>
      <c r="T76" s="21"/>
    </row>
    <row r="77" spans="5:20" x14ac:dyDescent="0.35">
      <c r="E77" s="21"/>
      <c r="F77" s="21"/>
      <c r="G77" s="22"/>
      <c r="H77" s="23"/>
      <c r="I77" s="21"/>
      <c r="J77" s="21"/>
      <c r="K77" s="21"/>
      <c r="L77" s="21"/>
      <c r="M77" s="21"/>
      <c r="N77" s="21"/>
      <c r="O77" s="21"/>
      <c r="P77" s="21"/>
      <c r="Q77" s="21"/>
      <c r="R77" s="21"/>
      <c r="S77" s="21"/>
      <c r="T77" s="21"/>
    </row>
    <row r="78" spans="5:20" x14ac:dyDescent="0.35">
      <c r="E78" s="21"/>
      <c r="F78" s="21"/>
      <c r="G78" s="22"/>
      <c r="H78" s="23"/>
      <c r="I78" s="21"/>
      <c r="J78" s="21"/>
      <c r="K78" s="21"/>
      <c r="L78" s="21"/>
      <c r="M78" s="21"/>
      <c r="N78" s="21"/>
      <c r="O78" s="21"/>
      <c r="P78" s="21"/>
      <c r="Q78" s="21"/>
      <c r="R78" s="21"/>
      <c r="S78" s="21"/>
      <c r="T78" s="21"/>
    </row>
    <row r="79" spans="5:20" x14ac:dyDescent="0.35">
      <c r="E79" s="21"/>
      <c r="F79" s="21"/>
      <c r="G79" s="22"/>
      <c r="H79" s="23"/>
      <c r="I79" s="21"/>
      <c r="J79" s="21"/>
      <c r="K79" s="21"/>
      <c r="L79" s="21"/>
      <c r="M79" s="21"/>
      <c r="N79" s="21"/>
      <c r="O79" s="21"/>
      <c r="P79" s="21"/>
      <c r="Q79" s="21"/>
      <c r="R79" s="21"/>
      <c r="S79" s="21"/>
      <c r="T79" s="21"/>
    </row>
    <row r="80" spans="5:20" x14ac:dyDescent="0.35">
      <c r="E80" s="21"/>
      <c r="F80" s="21"/>
      <c r="G80" s="22"/>
      <c r="H80" s="23"/>
      <c r="I80" s="21"/>
      <c r="J80" s="21"/>
      <c r="K80" s="21"/>
      <c r="L80" s="21"/>
      <c r="M80" s="21"/>
      <c r="N80" s="21"/>
      <c r="O80" s="21"/>
      <c r="P80" s="21"/>
      <c r="Q80" s="21"/>
      <c r="R80" s="21"/>
      <c r="S80" s="21"/>
      <c r="T80" s="21"/>
    </row>
    <row r="81" spans="5:20" x14ac:dyDescent="0.35">
      <c r="E81" s="21"/>
      <c r="F81" s="21"/>
      <c r="G81" s="22"/>
      <c r="H81" s="23"/>
      <c r="I81" s="21"/>
      <c r="J81" s="21"/>
      <c r="K81" s="21"/>
      <c r="L81" s="21"/>
      <c r="M81" s="21"/>
      <c r="N81" s="21"/>
      <c r="O81" s="21"/>
      <c r="P81" s="21"/>
      <c r="Q81" s="21"/>
      <c r="R81" s="21"/>
      <c r="S81" s="21"/>
      <c r="T81" s="21"/>
    </row>
    <row r="82" spans="5:20" x14ac:dyDescent="0.35">
      <c r="E82" s="21"/>
      <c r="F82" s="21"/>
      <c r="G82" s="22"/>
      <c r="H82" s="23"/>
      <c r="I82" s="21"/>
      <c r="J82" s="21"/>
      <c r="K82" s="21"/>
      <c r="L82" s="21"/>
      <c r="M82" s="21"/>
      <c r="N82" s="21"/>
      <c r="O82" s="21"/>
      <c r="P82" s="21"/>
      <c r="Q82" s="21"/>
      <c r="R82" s="21"/>
      <c r="S82" s="21"/>
      <c r="T82" s="21"/>
    </row>
    <row r="83" spans="5:20" x14ac:dyDescent="0.35">
      <c r="E83" s="21"/>
      <c r="F83" s="21"/>
      <c r="G83" s="22"/>
      <c r="H83" s="23"/>
      <c r="I83" s="21"/>
      <c r="J83" s="21"/>
      <c r="K83" s="21"/>
      <c r="L83" s="21"/>
      <c r="M83" s="21"/>
      <c r="N83" s="21"/>
      <c r="O83" s="21"/>
      <c r="P83" s="21"/>
      <c r="Q83" s="21"/>
      <c r="R83" s="21"/>
      <c r="S83" s="21"/>
      <c r="T83" s="21"/>
    </row>
    <row r="84" spans="5:20" x14ac:dyDescent="0.35">
      <c r="E84" s="21"/>
      <c r="F84" s="21"/>
      <c r="G84" s="22"/>
      <c r="H84" s="23"/>
      <c r="I84" s="21"/>
      <c r="J84" s="21"/>
      <c r="K84" s="21"/>
      <c r="L84" s="21"/>
      <c r="M84" s="21"/>
      <c r="N84" s="21"/>
      <c r="O84" s="21"/>
      <c r="P84" s="21"/>
      <c r="Q84" s="21"/>
      <c r="R84" s="21"/>
      <c r="S84" s="21"/>
      <c r="T84" s="21"/>
    </row>
    <row r="85" spans="5:20" x14ac:dyDescent="0.35">
      <c r="E85" s="21"/>
      <c r="F85" s="21"/>
      <c r="G85" s="22"/>
      <c r="H85" s="23"/>
      <c r="I85" s="21"/>
      <c r="J85" s="21"/>
      <c r="K85" s="21"/>
      <c r="L85" s="21"/>
      <c r="M85" s="21"/>
      <c r="N85" s="21"/>
      <c r="O85" s="21"/>
      <c r="P85" s="21"/>
      <c r="Q85" s="21"/>
      <c r="R85" s="21"/>
      <c r="S85" s="21"/>
      <c r="T85" s="21"/>
    </row>
    <row r="86" spans="5:20" x14ac:dyDescent="0.35">
      <c r="E86" s="21"/>
      <c r="F86" s="21"/>
      <c r="G86" s="22"/>
      <c r="H86" s="23"/>
      <c r="I86" s="21"/>
      <c r="J86" s="21"/>
      <c r="K86" s="21"/>
      <c r="L86" s="21"/>
      <c r="M86" s="21"/>
      <c r="N86" s="21"/>
      <c r="O86" s="21"/>
      <c r="P86" s="21"/>
      <c r="Q86" s="21"/>
      <c r="R86" s="21"/>
      <c r="S86" s="21"/>
      <c r="T86" s="21"/>
    </row>
    <row r="87" spans="5:20" x14ac:dyDescent="0.35">
      <c r="E87" s="21"/>
      <c r="F87" s="21"/>
      <c r="G87" s="22"/>
      <c r="H87" s="23"/>
      <c r="I87" s="21"/>
      <c r="J87" s="21"/>
      <c r="K87" s="21"/>
      <c r="L87" s="21"/>
      <c r="M87" s="21"/>
      <c r="N87" s="21"/>
      <c r="O87" s="21"/>
      <c r="P87" s="21"/>
      <c r="Q87" s="21"/>
      <c r="R87" s="21"/>
      <c r="S87" s="21"/>
      <c r="T87" s="21"/>
    </row>
    <row r="88" spans="5:20" x14ac:dyDescent="0.35">
      <c r="E88" s="21"/>
      <c r="F88" s="21"/>
      <c r="G88" s="22"/>
      <c r="H88" s="23"/>
      <c r="I88" s="21"/>
      <c r="J88" s="21"/>
      <c r="K88" s="21"/>
      <c r="L88" s="21"/>
      <c r="M88" s="21"/>
      <c r="N88" s="21"/>
      <c r="O88" s="21"/>
      <c r="P88" s="21"/>
      <c r="Q88" s="21"/>
      <c r="R88" s="21"/>
      <c r="S88" s="21"/>
      <c r="T88" s="21"/>
    </row>
    <row r="89" spans="5:20" x14ac:dyDescent="0.35">
      <c r="E89" s="21"/>
      <c r="F89" s="21"/>
      <c r="G89" s="22"/>
      <c r="H89" s="23"/>
      <c r="I89" s="21"/>
      <c r="J89" s="21"/>
      <c r="K89" s="21"/>
      <c r="L89" s="21"/>
      <c r="M89" s="21"/>
      <c r="N89" s="21"/>
      <c r="O89" s="21"/>
      <c r="P89" s="21"/>
      <c r="Q89" s="21"/>
      <c r="R89" s="21"/>
      <c r="S89" s="21"/>
      <c r="T89" s="21"/>
    </row>
    <row r="90" spans="5:20" x14ac:dyDescent="0.35">
      <c r="E90" s="21"/>
      <c r="F90" s="21"/>
      <c r="G90" s="22"/>
      <c r="H90" s="23"/>
      <c r="I90" s="21"/>
      <c r="J90" s="21"/>
      <c r="K90" s="21"/>
      <c r="L90" s="21"/>
      <c r="M90" s="21"/>
      <c r="N90" s="21"/>
      <c r="O90" s="21"/>
      <c r="P90" s="21"/>
      <c r="Q90" s="21"/>
      <c r="R90" s="21"/>
      <c r="S90" s="21"/>
      <c r="T90" s="21"/>
    </row>
    <row r="91" spans="5:20" x14ac:dyDescent="0.35">
      <c r="E91" s="21"/>
      <c r="F91" s="21"/>
      <c r="G91" s="22"/>
      <c r="H91" s="23"/>
      <c r="I91" s="21"/>
      <c r="J91" s="21"/>
      <c r="K91" s="21"/>
      <c r="L91" s="21"/>
      <c r="M91" s="21"/>
      <c r="N91" s="21"/>
      <c r="O91" s="21"/>
      <c r="P91" s="21"/>
      <c r="Q91" s="21"/>
      <c r="R91" s="21"/>
      <c r="S91" s="21"/>
      <c r="T91" s="21"/>
    </row>
    <row r="92" spans="5:20" x14ac:dyDescent="0.35">
      <c r="E92" s="21"/>
      <c r="F92" s="21"/>
      <c r="G92" s="22"/>
      <c r="H92" s="23"/>
      <c r="I92" s="21"/>
      <c r="J92" s="21"/>
      <c r="K92" s="21"/>
      <c r="L92" s="21"/>
      <c r="M92" s="21"/>
      <c r="N92" s="21"/>
      <c r="O92" s="21"/>
      <c r="P92" s="21"/>
      <c r="Q92" s="21"/>
      <c r="R92" s="21"/>
      <c r="S92" s="21"/>
      <c r="T92" s="21"/>
    </row>
    <row r="93" spans="5:20" x14ac:dyDescent="0.35">
      <c r="E93" s="21"/>
      <c r="F93" s="21"/>
      <c r="G93" s="22"/>
      <c r="H93" s="23"/>
      <c r="I93" s="21"/>
      <c r="J93" s="21"/>
      <c r="K93" s="21"/>
      <c r="L93" s="21"/>
      <c r="M93" s="21"/>
      <c r="N93" s="21"/>
      <c r="O93" s="21"/>
      <c r="P93" s="21"/>
      <c r="Q93" s="21"/>
      <c r="R93" s="21"/>
      <c r="S93" s="21"/>
      <c r="T93" s="21"/>
    </row>
    <row r="94" spans="5:20" x14ac:dyDescent="0.35">
      <c r="E94" s="21"/>
      <c r="F94" s="21"/>
      <c r="G94" s="22"/>
      <c r="H94" s="23"/>
      <c r="I94" s="21"/>
      <c r="J94" s="21"/>
      <c r="K94" s="21"/>
      <c r="L94" s="21"/>
      <c r="M94" s="21"/>
      <c r="N94" s="21"/>
      <c r="O94" s="21"/>
      <c r="P94" s="21"/>
      <c r="Q94" s="21"/>
      <c r="R94" s="21"/>
      <c r="S94" s="21"/>
      <c r="T94" s="21"/>
    </row>
    <row r="95" spans="5:20" x14ac:dyDescent="0.35">
      <c r="E95" s="21"/>
      <c r="F95" s="21"/>
      <c r="G95" s="22"/>
      <c r="H95" s="23"/>
      <c r="I95" s="21"/>
      <c r="J95" s="21"/>
      <c r="K95" s="21"/>
      <c r="L95" s="21"/>
      <c r="M95" s="21"/>
      <c r="N95" s="21"/>
      <c r="O95" s="21"/>
      <c r="P95" s="21"/>
      <c r="Q95" s="21"/>
      <c r="R95" s="21"/>
      <c r="S95" s="21"/>
      <c r="T95" s="21"/>
    </row>
    <row r="96" spans="5:20" x14ac:dyDescent="0.35">
      <c r="E96" s="21"/>
      <c r="F96" s="21"/>
      <c r="G96" s="22"/>
      <c r="H96" s="23"/>
      <c r="I96" s="21"/>
      <c r="J96" s="21"/>
      <c r="K96" s="21"/>
      <c r="L96" s="21"/>
      <c r="M96" s="21"/>
      <c r="N96" s="21"/>
      <c r="O96" s="21"/>
      <c r="P96" s="21"/>
      <c r="Q96" s="21"/>
      <c r="R96" s="21"/>
      <c r="S96" s="21"/>
      <c r="T96" s="21"/>
    </row>
    <row r="97" spans="5:20" x14ac:dyDescent="0.35">
      <c r="E97" s="21"/>
      <c r="F97" s="21"/>
      <c r="G97" s="22"/>
      <c r="H97" s="23"/>
      <c r="I97" s="21"/>
      <c r="J97" s="21"/>
      <c r="K97" s="21"/>
      <c r="L97" s="21"/>
      <c r="M97" s="21"/>
      <c r="N97" s="21"/>
      <c r="O97" s="21"/>
      <c r="P97" s="21"/>
      <c r="Q97" s="21"/>
      <c r="R97" s="21"/>
      <c r="S97" s="21"/>
      <c r="T97" s="21"/>
    </row>
    <row r="98" spans="5:20" x14ac:dyDescent="0.35">
      <c r="E98" s="21"/>
      <c r="F98" s="21"/>
      <c r="G98" s="22"/>
      <c r="H98" s="23"/>
      <c r="I98" s="21"/>
      <c r="J98" s="21"/>
      <c r="K98" s="21"/>
      <c r="L98" s="21"/>
      <c r="M98" s="21"/>
      <c r="N98" s="21"/>
      <c r="O98" s="21"/>
      <c r="P98" s="21"/>
      <c r="Q98" s="21"/>
      <c r="R98" s="21"/>
      <c r="S98" s="21"/>
      <c r="T98" s="21"/>
    </row>
    <row r="99" spans="5:20" x14ac:dyDescent="0.35">
      <c r="E99" s="21"/>
      <c r="F99" s="21"/>
      <c r="G99" s="22"/>
      <c r="H99" s="23"/>
      <c r="I99" s="21"/>
      <c r="J99" s="21"/>
      <c r="K99" s="21"/>
      <c r="L99" s="21"/>
      <c r="M99" s="21"/>
      <c r="N99" s="21"/>
      <c r="O99" s="21"/>
      <c r="P99" s="21"/>
      <c r="Q99" s="21"/>
      <c r="R99" s="21"/>
      <c r="S99" s="21"/>
      <c r="T99" s="21"/>
    </row>
    <row r="100" spans="5:20" x14ac:dyDescent="0.35">
      <c r="E100" s="21"/>
      <c r="F100" s="21"/>
      <c r="G100" s="22"/>
      <c r="H100" s="23"/>
      <c r="I100" s="21"/>
      <c r="J100" s="21"/>
      <c r="K100" s="21"/>
      <c r="L100" s="21"/>
      <c r="M100" s="21"/>
      <c r="N100" s="21"/>
      <c r="O100" s="21"/>
      <c r="P100" s="21"/>
      <c r="Q100" s="21"/>
      <c r="R100" s="21"/>
      <c r="S100" s="21"/>
      <c r="T100" s="21"/>
    </row>
    <row r="101" spans="5:20" x14ac:dyDescent="0.35">
      <c r="E101" s="21"/>
      <c r="F101" s="21"/>
      <c r="G101" s="22"/>
      <c r="H101" s="23"/>
      <c r="I101" s="21"/>
      <c r="J101" s="21"/>
      <c r="K101" s="21"/>
      <c r="L101" s="21"/>
      <c r="M101" s="21"/>
      <c r="N101" s="21"/>
      <c r="O101" s="21"/>
      <c r="P101" s="21"/>
      <c r="Q101" s="21"/>
      <c r="R101" s="21"/>
      <c r="S101" s="21"/>
      <c r="T101" s="21"/>
    </row>
    <row r="102" spans="5:20" x14ac:dyDescent="0.35">
      <c r="E102" s="21"/>
      <c r="F102" s="21"/>
      <c r="G102" s="22"/>
      <c r="H102" s="23"/>
      <c r="I102" s="21"/>
      <c r="J102" s="21"/>
      <c r="K102" s="21"/>
      <c r="L102" s="21"/>
      <c r="M102" s="21"/>
      <c r="N102" s="21"/>
      <c r="O102" s="21"/>
      <c r="P102" s="21"/>
      <c r="Q102" s="21"/>
      <c r="R102" s="21"/>
      <c r="S102" s="21"/>
      <c r="T102" s="21"/>
    </row>
    <row r="103" spans="5:20" x14ac:dyDescent="0.35">
      <c r="E103" s="21"/>
      <c r="F103" s="21"/>
      <c r="G103" s="22"/>
      <c r="H103" s="23"/>
      <c r="I103" s="21"/>
      <c r="J103" s="21"/>
      <c r="K103" s="21"/>
      <c r="L103" s="21"/>
      <c r="M103" s="21"/>
      <c r="N103" s="21"/>
      <c r="O103" s="21"/>
      <c r="P103" s="21"/>
      <c r="Q103" s="21"/>
      <c r="R103" s="21"/>
      <c r="S103" s="21"/>
      <c r="T103" s="21"/>
    </row>
    <row r="104" spans="5:20" x14ac:dyDescent="0.35">
      <c r="E104" s="21"/>
      <c r="F104" s="21"/>
      <c r="G104" s="22"/>
      <c r="H104" s="23"/>
      <c r="I104" s="21"/>
      <c r="J104" s="21"/>
      <c r="K104" s="21"/>
      <c r="L104" s="21"/>
      <c r="M104" s="21"/>
      <c r="N104" s="21"/>
      <c r="O104" s="21"/>
      <c r="P104" s="21"/>
      <c r="Q104" s="21"/>
      <c r="R104" s="21"/>
      <c r="S104" s="21"/>
      <c r="T104" s="21"/>
    </row>
    <row r="105" spans="5:20" x14ac:dyDescent="0.35">
      <c r="E105" s="21"/>
      <c r="F105" s="21"/>
      <c r="G105" s="22"/>
      <c r="H105" s="23"/>
      <c r="I105" s="21"/>
      <c r="J105" s="21"/>
      <c r="K105" s="21"/>
      <c r="L105" s="21"/>
      <c r="M105" s="21"/>
      <c r="N105" s="21"/>
      <c r="O105" s="21"/>
      <c r="P105" s="21"/>
      <c r="Q105" s="21"/>
      <c r="R105" s="21"/>
      <c r="S105" s="21"/>
      <c r="T105" s="21"/>
    </row>
    <row r="106" spans="5:20" x14ac:dyDescent="0.35">
      <c r="E106" s="21"/>
      <c r="F106" s="21"/>
      <c r="G106" s="22"/>
      <c r="H106" s="23"/>
      <c r="I106" s="21"/>
      <c r="J106" s="21"/>
      <c r="K106" s="21"/>
      <c r="L106" s="21"/>
      <c r="M106" s="21"/>
      <c r="N106" s="21"/>
      <c r="O106" s="21"/>
      <c r="P106" s="21"/>
      <c r="Q106" s="21"/>
      <c r="R106" s="21"/>
      <c r="S106" s="21"/>
      <c r="T106" s="21"/>
    </row>
    <row r="107" spans="5:20" x14ac:dyDescent="0.35">
      <c r="E107" s="21"/>
      <c r="F107" s="21"/>
      <c r="G107" s="22"/>
      <c r="H107" s="23"/>
      <c r="I107" s="21"/>
      <c r="J107" s="21"/>
      <c r="K107" s="21"/>
      <c r="L107" s="21"/>
      <c r="M107" s="21"/>
      <c r="N107" s="21"/>
      <c r="O107" s="21"/>
      <c r="P107" s="21"/>
      <c r="Q107" s="21"/>
      <c r="R107" s="21"/>
      <c r="S107" s="21"/>
      <c r="T107" s="21"/>
    </row>
    <row r="108" spans="5:20" x14ac:dyDescent="0.35">
      <c r="E108" s="21"/>
      <c r="F108" s="21"/>
      <c r="G108" s="22"/>
      <c r="H108" s="23"/>
      <c r="I108" s="21"/>
      <c r="J108" s="21"/>
      <c r="K108" s="21"/>
      <c r="L108" s="21"/>
      <c r="M108" s="21"/>
      <c r="N108" s="21"/>
      <c r="O108" s="21"/>
      <c r="P108" s="21"/>
      <c r="Q108" s="21"/>
      <c r="R108" s="21"/>
      <c r="S108" s="21"/>
      <c r="T108" s="21"/>
    </row>
    <row r="109" spans="5:20" x14ac:dyDescent="0.35">
      <c r="E109" s="21"/>
      <c r="F109" s="21"/>
      <c r="G109" s="22"/>
      <c r="H109" s="23"/>
      <c r="I109" s="21"/>
      <c r="J109" s="21"/>
      <c r="K109" s="21"/>
      <c r="L109" s="21"/>
      <c r="M109" s="21"/>
      <c r="N109" s="21"/>
      <c r="O109" s="21"/>
      <c r="P109" s="21"/>
      <c r="Q109" s="21"/>
      <c r="R109" s="21"/>
      <c r="S109" s="21"/>
      <c r="T109" s="21"/>
    </row>
    <row r="110" spans="5:20" x14ac:dyDescent="0.35">
      <c r="E110" s="21"/>
      <c r="F110" s="21"/>
      <c r="G110" s="22"/>
      <c r="H110" s="23"/>
      <c r="I110" s="21"/>
      <c r="J110" s="21"/>
      <c r="K110" s="21"/>
      <c r="L110" s="21"/>
      <c r="M110" s="21"/>
      <c r="N110" s="21"/>
      <c r="O110" s="21"/>
      <c r="P110" s="21"/>
      <c r="Q110" s="21"/>
      <c r="R110" s="21"/>
      <c r="S110" s="21"/>
      <c r="T110" s="21"/>
    </row>
    <row r="111" spans="5:20" x14ac:dyDescent="0.35">
      <c r="E111" s="21"/>
      <c r="F111" s="21"/>
      <c r="G111" s="22"/>
      <c r="H111" s="23"/>
      <c r="I111" s="21"/>
      <c r="J111" s="21"/>
      <c r="K111" s="21"/>
      <c r="L111" s="21"/>
      <c r="M111" s="21"/>
      <c r="N111" s="21"/>
      <c r="O111" s="21"/>
      <c r="P111" s="21"/>
      <c r="Q111" s="21"/>
      <c r="R111" s="21"/>
      <c r="S111" s="21"/>
      <c r="T111" s="21"/>
    </row>
    <row r="112" spans="5:20" x14ac:dyDescent="0.35">
      <c r="E112" s="21"/>
      <c r="F112" s="21"/>
      <c r="G112" s="22"/>
      <c r="H112" s="23"/>
      <c r="I112" s="21"/>
      <c r="J112" s="21"/>
      <c r="K112" s="21"/>
      <c r="L112" s="21"/>
      <c r="M112" s="21"/>
      <c r="N112" s="21"/>
      <c r="O112" s="21"/>
      <c r="P112" s="21"/>
      <c r="Q112" s="21"/>
      <c r="R112" s="21"/>
      <c r="S112" s="21"/>
      <c r="T112" s="21"/>
    </row>
    <row r="113" spans="2:20" x14ac:dyDescent="0.35">
      <c r="E113" s="21"/>
      <c r="F113" s="21"/>
      <c r="G113" s="22"/>
      <c r="H113" s="23"/>
      <c r="I113" s="21"/>
      <c r="J113" s="21"/>
      <c r="K113" s="21"/>
      <c r="L113" s="21"/>
      <c r="M113" s="21"/>
      <c r="N113" s="21"/>
      <c r="O113" s="21"/>
      <c r="P113" s="21"/>
      <c r="Q113" s="21"/>
      <c r="R113" s="21"/>
      <c r="S113" s="21"/>
      <c r="T113" s="21"/>
    </row>
    <row r="114" spans="2:20" x14ac:dyDescent="0.35">
      <c r="E114" s="21"/>
      <c r="F114" s="21"/>
      <c r="G114" s="22"/>
      <c r="H114" s="23"/>
      <c r="I114" s="21"/>
      <c r="J114" s="21"/>
      <c r="K114" s="21"/>
      <c r="L114" s="23"/>
      <c r="M114" s="21"/>
      <c r="N114" s="21"/>
      <c r="O114" s="21"/>
      <c r="P114" s="21"/>
      <c r="Q114" s="21"/>
      <c r="R114" s="21"/>
      <c r="S114" s="21"/>
      <c r="T114" s="21"/>
    </row>
    <row r="115" spans="2:20" x14ac:dyDescent="0.35">
      <c r="E115" s="21"/>
      <c r="F115" s="21"/>
      <c r="G115" s="22"/>
      <c r="H115" s="23"/>
      <c r="I115" s="21"/>
      <c r="J115" s="21"/>
      <c r="K115" s="21"/>
      <c r="L115" s="23"/>
      <c r="M115" s="21"/>
      <c r="N115" s="21"/>
      <c r="O115" s="21"/>
      <c r="P115" s="21"/>
      <c r="Q115" s="21"/>
      <c r="R115" s="21"/>
      <c r="S115" s="21"/>
      <c r="T115" s="21"/>
    </row>
    <row r="116" spans="2:20" x14ac:dyDescent="0.35">
      <c r="E116" s="21"/>
      <c r="F116" s="21"/>
      <c r="G116" s="22"/>
      <c r="H116" s="23"/>
      <c r="I116" s="21"/>
      <c r="J116" s="21"/>
      <c r="K116" s="21"/>
      <c r="L116" s="102"/>
      <c r="M116" s="21"/>
      <c r="N116" s="21"/>
      <c r="O116" s="21"/>
      <c r="P116" s="21"/>
      <c r="Q116" s="21"/>
      <c r="R116" s="21"/>
      <c r="S116" s="21"/>
      <c r="T116" s="21"/>
    </row>
    <row r="117" spans="2:20" x14ac:dyDescent="0.35">
      <c r="E117" s="21"/>
      <c r="F117" s="21"/>
      <c r="G117" s="22"/>
      <c r="H117" s="23"/>
      <c r="I117" s="21"/>
      <c r="J117" s="21"/>
      <c r="K117" s="21"/>
      <c r="L117" s="23"/>
      <c r="M117" s="21"/>
      <c r="N117" s="21"/>
      <c r="O117" s="21"/>
      <c r="P117" s="21"/>
      <c r="Q117" s="21"/>
      <c r="R117" s="21"/>
      <c r="S117" s="21"/>
      <c r="T117" s="21"/>
    </row>
    <row r="118" spans="2:20" x14ac:dyDescent="0.35">
      <c r="E118" s="21"/>
      <c r="F118" s="21"/>
      <c r="G118" s="22"/>
      <c r="H118" s="23"/>
      <c r="I118" s="21"/>
      <c r="J118" s="21"/>
      <c r="K118" s="21"/>
      <c r="L118" s="102"/>
      <c r="M118" s="21"/>
      <c r="N118" s="21"/>
      <c r="O118" s="21"/>
      <c r="P118" s="21"/>
      <c r="Q118" s="21"/>
      <c r="R118" s="21"/>
      <c r="S118" s="21"/>
      <c r="T118" s="21"/>
    </row>
    <row r="119" spans="2:20" x14ac:dyDescent="0.35">
      <c r="E119" s="21"/>
      <c r="F119" s="21"/>
      <c r="G119" s="22"/>
      <c r="H119" s="23"/>
      <c r="I119" s="21"/>
      <c r="J119" s="21"/>
      <c r="K119" s="21"/>
      <c r="L119" s="21"/>
      <c r="M119" s="21"/>
      <c r="N119" s="21"/>
      <c r="O119" s="21"/>
      <c r="P119" s="21"/>
      <c r="Q119" s="21"/>
      <c r="R119" s="21"/>
      <c r="S119" s="21"/>
      <c r="T119" s="21"/>
    </row>
    <row r="120" spans="2:20" x14ac:dyDescent="0.35">
      <c r="E120" s="21"/>
      <c r="F120" s="21"/>
      <c r="G120" s="22"/>
      <c r="H120" s="23"/>
      <c r="I120" s="21"/>
      <c r="J120" s="21"/>
      <c r="K120" s="21"/>
      <c r="L120" s="21"/>
      <c r="M120" s="21"/>
      <c r="N120" s="21"/>
      <c r="O120" s="21"/>
      <c r="P120" s="21"/>
      <c r="Q120" s="21"/>
      <c r="R120" s="21"/>
      <c r="S120" s="21"/>
      <c r="T120" s="21"/>
    </row>
    <row r="121" spans="2:20" x14ac:dyDescent="0.35">
      <c r="E121" s="21"/>
      <c r="F121" s="21"/>
      <c r="G121" s="22"/>
      <c r="H121" s="23"/>
      <c r="I121" s="21"/>
      <c r="J121" s="21"/>
      <c r="K121" s="21"/>
      <c r="L121" s="21"/>
      <c r="M121" s="21"/>
      <c r="N121" s="21"/>
      <c r="O121" s="21"/>
      <c r="P121" s="21"/>
      <c r="Q121" s="21"/>
      <c r="R121" s="21"/>
      <c r="S121" s="21"/>
      <c r="T121" s="21"/>
    </row>
    <row r="122" spans="2:20" x14ac:dyDescent="0.35">
      <c r="E122" s="21"/>
      <c r="F122" s="21"/>
      <c r="G122" s="22"/>
      <c r="H122" s="23"/>
      <c r="I122" s="21"/>
      <c r="J122" s="21"/>
      <c r="K122" s="21"/>
      <c r="L122" s="21"/>
      <c r="M122" s="21"/>
      <c r="N122" s="21"/>
      <c r="O122" s="21"/>
      <c r="P122" s="21"/>
      <c r="Q122" s="21"/>
      <c r="R122" s="21"/>
      <c r="S122" s="21"/>
    </row>
    <row r="123" spans="2:20" x14ac:dyDescent="0.35">
      <c r="E123" s="21"/>
      <c r="F123" s="21"/>
      <c r="G123" s="22"/>
      <c r="H123" s="23"/>
      <c r="I123" s="21"/>
      <c r="J123" s="21"/>
      <c r="K123" s="21"/>
      <c r="L123" s="21"/>
      <c r="M123" s="21"/>
      <c r="N123" s="21"/>
      <c r="O123" s="21"/>
      <c r="P123" s="21"/>
      <c r="Q123" s="21"/>
      <c r="R123" s="21"/>
      <c r="S123" s="21"/>
    </row>
    <row r="124" spans="2:20" ht="16" thickBot="1" x14ac:dyDescent="0.4">
      <c r="C124" s="88" t="s">
        <v>2</v>
      </c>
      <c r="E124" s="21"/>
      <c r="F124" s="21"/>
      <c r="G124" s="22"/>
      <c r="H124" s="23"/>
      <c r="I124" s="21"/>
      <c r="J124" s="21"/>
      <c r="K124" s="21"/>
      <c r="L124" s="21"/>
      <c r="M124" s="21"/>
      <c r="N124" s="21"/>
      <c r="O124" s="21"/>
      <c r="P124" s="21"/>
      <c r="Q124" s="21"/>
      <c r="R124" s="21"/>
      <c r="S124" s="21"/>
    </row>
    <row r="125" spans="2:20" x14ac:dyDescent="0.35">
      <c r="B125" s="29" t="s">
        <v>805</v>
      </c>
      <c r="C125" s="89">
        <v>8.5</v>
      </c>
      <c r="D125" s="20" t="s">
        <v>16</v>
      </c>
      <c r="E125" s="21"/>
      <c r="F125" s="21"/>
      <c r="G125" s="144"/>
      <c r="H125" s="23"/>
      <c r="I125" s="21"/>
      <c r="J125" s="21"/>
      <c r="K125" s="21"/>
      <c r="L125" s="21"/>
      <c r="M125" s="21"/>
      <c r="N125" s="21"/>
      <c r="O125" s="21"/>
      <c r="P125" s="21"/>
      <c r="Q125" s="21"/>
      <c r="R125" s="21"/>
      <c r="S125" s="21"/>
    </row>
    <row r="126" spans="2:20" x14ac:dyDescent="0.35">
      <c r="B126" s="29" t="s">
        <v>663</v>
      </c>
      <c r="C126" s="135">
        <v>100</v>
      </c>
      <c r="D126" s="20" t="s">
        <v>8</v>
      </c>
      <c r="E126" s="21"/>
      <c r="F126" s="21"/>
      <c r="G126" s="144"/>
      <c r="H126" s="23"/>
      <c r="I126" s="21"/>
      <c r="J126" s="21"/>
      <c r="K126" s="21"/>
      <c r="L126" s="21"/>
      <c r="M126" s="21"/>
      <c r="N126" s="21"/>
      <c r="O126" s="21"/>
      <c r="P126" s="21"/>
      <c r="Q126" s="21"/>
      <c r="R126" s="21"/>
      <c r="S126" s="21"/>
    </row>
    <row r="127" spans="2:20" x14ac:dyDescent="0.35">
      <c r="B127" s="29" t="s">
        <v>662</v>
      </c>
      <c r="C127" s="135">
        <v>180</v>
      </c>
      <c r="D127" s="20" t="s">
        <v>28</v>
      </c>
      <c r="E127" s="21"/>
      <c r="F127" s="21"/>
      <c r="G127" s="144"/>
      <c r="H127" s="23"/>
      <c r="I127" s="21"/>
      <c r="J127" s="21"/>
      <c r="K127" s="21"/>
      <c r="L127" s="21"/>
      <c r="M127" s="21"/>
      <c r="N127" s="21"/>
      <c r="O127" s="21"/>
      <c r="P127" s="21"/>
      <c r="Q127" s="21"/>
      <c r="R127" s="21"/>
      <c r="S127" s="21"/>
    </row>
    <row r="128" spans="2:20" ht="16" thickBot="1" x14ac:dyDescent="0.4">
      <c r="B128" s="29" t="s">
        <v>546</v>
      </c>
      <c r="C128" s="91">
        <v>1000</v>
      </c>
      <c r="D128" s="20" t="s">
        <v>680</v>
      </c>
      <c r="E128" s="21"/>
      <c r="F128" s="21"/>
      <c r="G128" s="144"/>
      <c r="H128" s="23"/>
      <c r="I128" s="21"/>
      <c r="J128" s="21"/>
      <c r="K128" s="21"/>
      <c r="L128" s="21"/>
      <c r="M128" s="21"/>
      <c r="N128" s="21"/>
      <c r="O128" s="21"/>
      <c r="P128" s="21"/>
      <c r="Q128" s="21"/>
      <c r="R128" s="21"/>
      <c r="S128" s="21"/>
    </row>
    <row r="129" spans="2:19" x14ac:dyDescent="0.35">
      <c r="C129" s="88" t="s">
        <v>640</v>
      </c>
      <c r="E129" s="21"/>
      <c r="F129" s="21"/>
      <c r="G129" s="22"/>
      <c r="H129" s="23"/>
      <c r="I129" s="21"/>
      <c r="J129" s="21"/>
      <c r="K129" s="21"/>
      <c r="L129" s="21"/>
      <c r="M129" s="21"/>
      <c r="N129" s="21"/>
      <c r="O129" s="21"/>
      <c r="P129" s="21"/>
      <c r="Q129" s="21"/>
      <c r="R129" s="21"/>
      <c r="S129" s="21"/>
    </row>
    <row r="130" spans="2:19" x14ac:dyDescent="0.35">
      <c r="B130" s="86" t="s">
        <v>664</v>
      </c>
      <c r="C130" s="4">
        <v>1.4</v>
      </c>
      <c r="D130" s="2" t="s">
        <v>665</v>
      </c>
      <c r="E130" s="47"/>
      <c r="F130" s="21"/>
      <c r="G130" s="22"/>
      <c r="H130" s="23"/>
      <c r="I130" s="21"/>
      <c r="J130" s="21"/>
      <c r="K130" s="21"/>
      <c r="L130" s="21"/>
      <c r="M130" s="21"/>
      <c r="N130" s="21"/>
      <c r="O130" s="21"/>
      <c r="P130" s="21"/>
      <c r="Q130" s="21"/>
      <c r="R130" s="21"/>
      <c r="S130" s="21"/>
    </row>
    <row r="131" spans="2:19" ht="16" thickBot="1" x14ac:dyDescent="0.4">
      <c r="B131" s="86" t="s">
        <v>667</v>
      </c>
      <c r="C131" s="4" t="s">
        <v>666</v>
      </c>
      <c r="D131" s="2"/>
      <c r="E131" s="47"/>
      <c r="F131" s="21"/>
      <c r="G131" s="22"/>
      <c r="H131" s="23"/>
      <c r="I131" s="21"/>
      <c r="J131" s="21"/>
      <c r="K131" s="21"/>
      <c r="L131" s="21"/>
      <c r="M131" s="21"/>
      <c r="N131" s="21"/>
      <c r="O131" s="21"/>
      <c r="P131" s="21"/>
      <c r="Q131" s="21"/>
      <c r="R131" s="21"/>
      <c r="S131" s="21"/>
    </row>
    <row r="132" spans="2:19" ht="16" thickBot="1" x14ac:dyDescent="0.4">
      <c r="B132" s="86" t="s">
        <v>4</v>
      </c>
      <c r="C132" s="377">
        <f>1-(1/(C125^(C130-1)))</f>
        <v>0.57515312342875524</v>
      </c>
      <c r="D132" s="2"/>
      <c r="E132" s="47"/>
      <c r="F132" s="22"/>
      <c r="G132" s="22"/>
      <c r="H132" s="23"/>
      <c r="I132" s="21"/>
      <c r="J132" s="21"/>
      <c r="K132" s="21"/>
      <c r="L132" s="21"/>
      <c r="M132" s="21"/>
      <c r="N132" s="21"/>
      <c r="O132" s="21"/>
      <c r="P132" s="21"/>
      <c r="Q132" s="21"/>
      <c r="R132" s="21"/>
      <c r="S132" s="21"/>
    </row>
    <row r="133" spans="2:19" x14ac:dyDescent="0.35">
      <c r="B133" s="86" t="s">
        <v>669</v>
      </c>
      <c r="C133" s="4" t="s">
        <v>670</v>
      </c>
      <c r="D133" s="2"/>
      <c r="E133" s="21"/>
      <c r="F133" s="22"/>
      <c r="G133" s="22"/>
      <c r="H133" s="23"/>
      <c r="I133" s="21"/>
      <c r="J133" s="21"/>
      <c r="K133" s="21"/>
      <c r="L133" s="21"/>
      <c r="M133" s="21"/>
      <c r="N133" s="21"/>
      <c r="O133" s="21"/>
      <c r="P133" s="21"/>
      <c r="Q133" s="21"/>
      <c r="R133" s="21"/>
      <c r="S133" s="21"/>
    </row>
    <row r="134" spans="2:19" x14ac:dyDescent="0.35">
      <c r="B134" s="86" t="s">
        <v>4</v>
      </c>
      <c r="C134" s="4">
        <f>C126 + 273</f>
        <v>373</v>
      </c>
      <c r="D134" s="2" t="s">
        <v>10</v>
      </c>
      <c r="E134" s="21"/>
      <c r="F134" s="22"/>
      <c r="G134" s="22"/>
      <c r="H134" s="23"/>
      <c r="I134" s="21"/>
      <c r="J134" s="21"/>
      <c r="K134" s="21"/>
      <c r="L134" s="21"/>
      <c r="M134" s="21"/>
      <c r="N134" s="21"/>
      <c r="O134" s="21"/>
      <c r="P134" s="21"/>
      <c r="Q134" s="21"/>
      <c r="R134" s="21"/>
      <c r="S134" s="21"/>
    </row>
    <row r="135" spans="2:19" x14ac:dyDescent="0.35">
      <c r="B135" s="86" t="s">
        <v>668</v>
      </c>
      <c r="C135" s="4" t="s">
        <v>671</v>
      </c>
      <c r="D135" s="2"/>
      <c r="E135" s="21"/>
      <c r="F135" s="22"/>
      <c r="G135" s="22"/>
      <c r="H135" s="23"/>
      <c r="I135" s="21"/>
      <c r="J135" s="21"/>
      <c r="K135" s="21"/>
      <c r="L135" s="21"/>
      <c r="M135" s="21"/>
      <c r="N135" s="21"/>
      <c r="O135" s="21"/>
      <c r="P135" s="21"/>
      <c r="Q135" s="21"/>
      <c r="R135" s="21"/>
      <c r="S135" s="21"/>
    </row>
    <row r="136" spans="2:19" x14ac:dyDescent="0.35">
      <c r="B136" s="86" t="s">
        <v>4</v>
      </c>
      <c r="C136" s="4" t="s">
        <v>672</v>
      </c>
      <c r="D136" s="2"/>
      <c r="E136" s="21"/>
      <c r="F136" s="22"/>
      <c r="G136" s="22"/>
      <c r="H136" s="23"/>
      <c r="I136" s="21"/>
      <c r="J136" s="21"/>
      <c r="K136" s="21"/>
      <c r="L136" s="21"/>
      <c r="M136" s="21"/>
      <c r="N136" s="21"/>
      <c r="O136" s="21"/>
      <c r="P136" s="21"/>
      <c r="Q136" s="21"/>
      <c r="R136" s="21"/>
      <c r="S136" s="21"/>
    </row>
    <row r="137" spans="2:19" x14ac:dyDescent="0.35">
      <c r="B137" s="86" t="s">
        <v>4</v>
      </c>
      <c r="C137" s="93">
        <f>C134*(C125)^(C130-1)</f>
        <v>877.96338061920449</v>
      </c>
      <c r="D137" s="2" t="s">
        <v>10</v>
      </c>
      <c r="E137" s="21"/>
      <c r="F137" s="21"/>
      <c r="G137" s="22"/>
      <c r="H137" s="23"/>
      <c r="I137" s="21"/>
      <c r="J137" s="21"/>
      <c r="K137" s="21"/>
      <c r="L137" s="21"/>
      <c r="M137" s="21"/>
      <c r="N137" s="21"/>
      <c r="O137" s="21"/>
      <c r="P137" s="21"/>
      <c r="Q137" s="21"/>
      <c r="R137" s="21"/>
      <c r="S137" s="21"/>
    </row>
    <row r="138" spans="2:19" x14ac:dyDescent="0.35">
      <c r="B138" s="86" t="s">
        <v>678</v>
      </c>
      <c r="C138" s="4">
        <v>0.71699999999999997</v>
      </c>
      <c r="D138" s="2" t="s">
        <v>677</v>
      </c>
      <c r="E138" s="24"/>
      <c r="F138" s="21"/>
      <c r="G138" s="22"/>
      <c r="H138" s="23"/>
      <c r="I138" s="21"/>
      <c r="J138" s="21"/>
      <c r="K138" s="21"/>
      <c r="L138" s="21"/>
      <c r="M138" s="21"/>
      <c r="N138" s="21"/>
      <c r="O138" s="21"/>
      <c r="P138" s="21"/>
      <c r="Q138" s="21"/>
      <c r="R138" s="21"/>
      <c r="S138" s="21"/>
    </row>
    <row r="139" spans="2:19" x14ac:dyDescent="0.35">
      <c r="B139" s="86" t="s">
        <v>679</v>
      </c>
      <c r="C139" s="94">
        <v>1</v>
      </c>
      <c r="D139" s="2" t="s">
        <v>677</v>
      </c>
      <c r="E139" s="372"/>
      <c r="F139" s="47"/>
      <c r="G139" s="22"/>
      <c r="H139" s="23"/>
      <c r="I139" s="21"/>
      <c r="J139" s="21"/>
      <c r="K139" s="21"/>
      <c r="L139" s="21"/>
      <c r="M139" s="21"/>
      <c r="N139" s="21"/>
      <c r="O139" s="21"/>
      <c r="P139" s="21"/>
      <c r="Q139" s="21"/>
      <c r="R139" s="21"/>
      <c r="S139" s="21"/>
    </row>
    <row r="140" spans="2:19" x14ac:dyDescent="0.35">
      <c r="B140" s="86" t="s">
        <v>674</v>
      </c>
      <c r="C140" s="4">
        <v>1000</v>
      </c>
      <c r="D140" s="2" t="s">
        <v>673</v>
      </c>
      <c r="E140" s="372"/>
      <c r="F140" s="47"/>
      <c r="G140" s="22"/>
      <c r="H140" s="23"/>
      <c r="I140" s="21"/>
      <c r="J140" s="21"/>
      <c r="K140" s="21"/>
      <c r="L140" s="21"/>
      <c r="M140" s="21"/>
      <c r="N140" s="21"/>
      <c r="O140" s="21"/>
      <c r="P140" s="21"/>
      <c r="Q140" s="21"/>
      <c r="R140" s="21"/>
      <c r="S140" s="21"/>
    </row>
    <row r="141" spans="2:19" x14ac:dyDescent="0.35">
      <c r="B141" s="86" t="s">
        <v>675</v>
      </c>
      <c r="C141" s="4" t="s">
        <v>691</v>
      </c>
      <c r="D141" s="25"/>
      <c r="E141" s="372"/>
      <c r="F141" s="47"/>
      <c r="G141" s="22"/>
      <c r="H141" s="23"/>
      <c r="I141" s="21"/>
      <c r="J141" s="21"/>
      <c r="K141" s="21"/>
      <c r="L141" s="21"/>
      <c r="M141" s="21"/>
      <c r="N141" s="21"/>
      <c r="O141" s="21"/>
      <c r="P141" s="21"/>
      <c r="Q141" s="21"/>
      <c r="R141" s="21"/>
      <c r="S141" s="21"/>
    </row>
    <row r="142" spans="2:19" x14ac:dyDescent="0.35">
      <c r="B142" s="230" t="s">
        <v>676</v>
      </c>
      <c r="C142" s="4" t="s">
        <v>692</v>
      </c>
      <c r="D142" s="25"/>
      <c r="E142" s="372"/>
      <c r="F142" s="47"/>
      <c r="G142" s="22"/>
      <c r="H142" s="23"/>
      <c r="I142" s="21"/>
      <c r="J142" s="21"/>
      <c r="K142" s="21"/>
      <c r="L142" s="21"/>
      <c r="M142" s="21"/>
      <c r="N142" s="21"/>
      <c r="O142" s="21"/>
      <c r="P142" s="21"/>
      <c r="Q142" s="21"/>
      <c r="R142" s="21"/>
      <c r="S142" s="21"/>
    </row>
    <row r="143" spans="2:19" x14ac:dyDescent="0.35">
      <c r="B143" s="230" t="s">
        <v>676</v>
      </c>
      <c r="C143" s="93">
        <f>(C128 - C138*(C134 - C137)) / C138</f>
        <v>1899.6635200892185</v>
      </c>
      <c r="D143" s="2" t="s">
        <v>681</v>
      </c>
      <c r="E143" s="21"/>
      <c r="F143" s="21"/>
      <c r="G143" s="22"/>
      <c r="H143" s="23"/>
      <c r="I143" s="21"/>
      <c r="J143" s="21"/>
      <c r="K143" s="21"/>
      <c r="L143" s="21"/>
      <c r="M143" s="21"/>
      <c r="N143" s="21"/>
      <c r="O143" s="21"/>
      <c r="P143" s="21"/>
      <c r="Q143" s="21"/>
      <c r="R143" s="21"/>
      <c r="S143" s="21"/>
    </row>
    <row r="144" spans="2:19" x14ac:dyDescent="0.35">
      <c r="B144" s="86" t="s">
        <v>682</v>
      </c>
      <c r="C144" s="4" t="s">
        <v>683</v>
      </c>
      <c r="E144" s="21"/>
      <c r="F144" s="21"/>
      <c r="G144" s="22"/>
      <c r="H144" s="23"/>
      <c r="I144" s="21"/>
      <c r="J144" s="21"/>
      <c r="K144" s="21"/>
      <c r="L144" s="21"/>
      <c r="M144" s="21"/>
      <c r="N144" s="21"/>
      <c r="O144" s="21"/>
      <c r="P144" s="21"/>
      <c r="Q144" s="21"/>
      <c r="R144" s="21"/>
      <c r="S144" s="21"/>
    </row>
    <row r="145" spans="2:19" x14ac:dyDescent="0.35">
      <c r="B145" s="86" t="s">
        <v>4</v>
      </c>
      <c r="C145" s="4" t="s">
        <v>684</v>
      </c>
      <c r="E145" s="21"/>
      <c r="F145" s="21"/>
      <c r="G145" s="22"/>
      <c r="H145" s="23"/>
      <c r="I145" s="21"/>
      <c r="J145" s="21"/>
      <c r="K145" s="21"/>
      <c r="L145" s="21"/>
      <c r="M145" s="21"/>
      <c r="N145" s="21"/>
      <c r="O145" s="21"/>
      <c r="P145" s="21"/>
      <c r="Q145" s="21"/>
      <c r="R145" s="21"/>
      <c r="S145" s="21"/>
    </row>
    <row r="146" spans="2:19" x14ac:dyDescent="0.35">
      <c r="B146" s="86" t="s">
        <v>685</v>
      </c>
      <c r="C146" s="4" t="s">
        <v>686</v>
      </c>
      <c r="E146" s="21"/>
      <c r="F146" s="21"/>
      <c r="G146" s="22"/>
      <c r="H146" s="23"/>
      <c r="I146" s="21"/>
      <c r="J146" s="21"/>
      <c r="K146" s="21"/>
      <c r="L146" s="21"/>
      <c r="M146" s="21"/>
      <c r="N146" s="21"/>
      <c r="O146" s="21"/>
      <c r="P146" s="21"/>
      <c r="Q146" s="21"/>
      <c r="R146" s="21"/>
      <c r="S146" s="21"/>
    </row>
    <row r="147" spans="2:19" x14ac:dyDescent="0.35">
      <c r="B147" s="86" t="s">
        <v>685</v>
      </c>
      <c r="C147" s="166">
        <f>( C125)^(C130-1)</f>
        <v>2.353789224180173</v>
      </c>
      <c r="D147" s="2" t="s">
        <v>687</v>
      </c>
      <c r="E147" s="21"/>
      <c r="F147" s="21"/>
      <c r="G147" s="22"/>
      <c r="H147" s="23"/>
      <c r="I147" s="21"/>
      <c r="J147" s="21"/>
      <c r="K147" s="21"/>
      <c r="L147" s="21"/>
      <c r="M147" s="21"/>
      <c r="N147" s="21"/>
      <c r="O147" s="21"/>
      <c r="P147" s="21"/>
      <c r="Q147" s="21"/>
      <c r="R147" s="21"/>
      <c r="S147" s="21"/>
    </row>
    <row r="148" spans="2:19" x14ac:dyDescent="0.35">
      <c r="B148" s="4" t="s">
        <v>688</v>
      </c>
      <c r="C148" s="4"/>
      <c r="E148" s="21"/>
      <c r="F148" s="21"/>
      <c r="G148" s="22"/>
      <c r="H148" s="23"/>
      <c r="I148" s="21"/>
      <c r="J148" s="21"/>
      <c r="K148" s="21"/>
      <c r="L148" s="21"/>
      <c r="M148" s="21"/>
      <c r="N148" s="21"/>
      <c r="O148" s="21"/>
      <c r="P148" s="21"/>
      <c r="Q148" s="21"/>
      <c r="R148" s="21"/>
      <c r="S148" s="21"/>
    </row>
    <row r="149" spans="2:19" x14ac:dyDescent="0.35">
      <c r="B149" s="86" t="s">
        <v>689</v>
      </c>
      <c r="C149" s="93">
        <f>C143 / (1 - 1/C147)</f>
        <v>3302.8830805341731</v>
      </c>
      <c r="D149" s="2" t="s">
        <v>10</v>
      </c>
      <c r="E149" s="21"/>
      <c r="F149" s="21"/>
      <c r="G149" s="22"/>
      <c r="H149" s="23"/>
      <c r="I149" s="21"/>
      <c r="J149" s="21"/>
      <c r="K149" s="21"/>
      <c r="L149" s="21"/>
      <c r="M149" s="21"/>
      <c r="N149" s="21"/>
      <c r="O149" s="21"/>
      <c r="P149" s="21"/>
      <c r="Q149" s="21"/>
      <c r="R149" s="21"/>
      <c r="S149" s="21"/>
    </row>
    <row r="150" spans="2:19" x14ac:dyDescent="0.35">
      <c r="B150" s="86" t="s">
        <v>690</v>
      </c>
      <c r="C150" s="93">
        <f>C149-C143</f>
        <v>1403.2195604449546</v>
      </c>
      <c r="D150" s="2" t="s">
        <v>10</v>
      </c>
      <c r="E150" s="21"/>
      <c r="F150" s="21"/>
      <c r="G150" s="22"/>
      <c r="H150" s="23"/>
      <c r="I150" s="21"/>
      <c r="J150" s="21"/>
      <c r="K150" s="21"/>
      <c r="L150" s="21"/>
      <c r="M150" s="21"/>
      <c r="N150" s="21"/>
      <c r="O150" s="21"/>
      <c r="P150" s="21"/>
      <c r="Q150" s="21"/>
      <c r="R150" s="21"/>
      <c r="S150" s="21"/>
    </row>
    <row r="151" spans="2:19" ht="17.5" x14ac:dyDescent="0.45">
      <c r="B151" s="86" t="s">
        <v>694</v>
      </c>
      <c r="C151" s="4" t="s">
        <v>965</v>
      </c>
      <c r="E151" s="21"/>
      <c r="F151" s="21"/>
      <c r="G151" s="22"/>
      <c r="H151" s="23"/>
      <c r="I151" s="21"/>
      <c r="J151" s="21"/>
      <c r="K151" s="21"/>
      <c r="L151" s="21"/>
      <c r="M151" s="21"/>
      <c r="N151" s="21"/>
      <c r="O151" s="21"/>
      <c r="P151" s="21"/>
      <c r="Q151" s="21"/>
      <c r="R151" s="21"/>
      <c r="S151" s="21"/>
    </row>
    <row r="152" spans="2:19" ht="16" thickBot="1" x14ac:dyDescent="0.4">
      <c r="B152" s="86" t="s">
        <v>4</v>
      </c>
      <c r="C152" s="4" t="s">
        <v>693</v>
      </c>
      <c r="E152" s="21"/>
      <c r="F152" s="21"/>
      <c r="G152" s="22"/>
      <c r="H152" s="23"/>
      <c r="I152" s="21"/>
      <c r="J152" s="21"/>
      <c r="K152" s="21"/>
      <c r="L152" s="21"/>
      <c r="M152" s="21"/>
      <c r="N152" s="21"/>
      <c r="O152" s="21"/>
      <c r="P152" s="21"/>
      <c r="Q152" s="21"/>
      <c r="R152" s="21"/>
      <c r="S152" s="21"/>
    </row>
    <row r="153" spans="2:19" ht="16" thickBot="1" x14ac:dyDescent="0.4">
      <c r="B153" s="86" t="s">
        <v>4</v>
      </c>
      <c r="C153" s="377">
        <f>1 - (C134 / C149)</f>
        <v>0.88706836091222607</v>
      </c>
      <c r="E153" s="21"/>
      <c r="F153" s="21"/>
      <c r="G153" s="22"/>
      <c r="H153" s="23"/>
      <c r="I153" s="21"/>
      <c r="J153" s="21"/>
      <c r="K153" s="21"/>
      <c r="L153" s="21"/>
      <c r="M153" s="21"/>
      <c r="N153" s="21"/>
      <c r="O153" s="21"/>
      <c r="P153" s="21"/>
      <c r="Q153" s="21"/>
      <c r="R153" s="21"/>
      <c r="S153" s="21"/>
    </row>
    <row r="154" spans="2:19" x14ac:dyDescent="0.35">
      <c r="F154" s="21"/>
      <c r="G154" s="22"/>
      <c r="H154" s="23"/>
      <c r="I154" s="21"/>
      <c r="J154" s="21"/>
      <c r="K154" s="21"/>
      <c r="L154" s="21"/>
      <c r="M154" s="21"/>
      <c r="N154" s="21"/>
      <c r="O154" s="21"/>
      <c r="P154" s="21"/>
      <c r="Q154" s="21"/>
      <c r="R154" s="21"/>
      <c r="S154" s="21"/>
    </row>
    <row r="155" spans="2:19" ht="18" x14ac:dyDescent="0.4">
      <c r="B155" s="44" t="s">
        <v>695</v>
      </c>
      <c r="C155" s="4"/>
      <c r="D155" s="2"/>
      <c r="E155" s="21"/>
      <c r="F155" s="21"/>
      <c r="G155" s="22"/>
      <c r="H155" s="23"/>
      <c r="I155" s="21"/>
      <c r="J155" s="21"/>
      <c r="K155" s="21"/>
      <c r="L155" s="21"/>
      <c r="M155" s="21"/>
      <c r="N155" s="21"/>
      <c r="O155" s="21"/>
      <c r="P155" s="21"/>
      <c r="Q155" s="21"/>
      <c r="R155" s="21"/>
      <c r="S155" s="21"/>
    </row>
    <row r="156" spans="2:19" ht="18" x14ac:dyDescent="0.4">
      <c r="B156" s="44" t="s">
        <v>792</v>
      </c>
      <c r="C156" s="4"/>
      <c r="D156" s="2"/>
      <c r="E156" s="21"/>
      <c r="F156" s="21"/>
      <c r="G156" s="22"/>
      <c r="H156" s="23"/>
      <c r="I156" s="21"/>
      <c r="J156" s="21"/>
      <c r="K156" s="21"/>
      <c r="L156" s="21"/>
      <c r="M156" s="21"/>
      <c r="N156" s="21"/>
      <c r="O156" s="21"/>
      <c r="P156" s="21"/>
      <c r="Q156" s="21"/>
      <c r="R156" s="21"/>
      <c r="S156" s="21"/>
    </row>
    <row r="157" spans="2:19" x14ac:dyDescent="0.35">
      <c r="B157" s="86"/>
      <c r="C157" s="4"/>
      <c r="D157" s="2"/>
      <c r="E157" s="21"/>
      <c r="F157" s="21"/>
      <c r="G157" s="22"/>
      <c r="H157" s="23"/>
      <c r="I157" s="21"/>
      <c r="J157" s="21"/>
      <c r="K157" s="21"/>
      <c r="L157" s="21"/>
      <c r="M157" s="21"/>
      <c r="N157" s="21"/>
      <c r="O157" s="21"/>
      <c r="P157" s="21"/>
      <c r="Q157" s="21"/>
      <c r="R157" s="21"/>
      <c r="S157" s="21"/>
    </row>
    <row r="158" spans="2:19" x14ac:dyDescent="0.35">
      <c r="B158" s="4" t="s">
        <v>793</v>
      </c>
      <c r="C158" s="4"/>
      <c r="D158" s="2"/>
      <c r="E158" s="21"/>
      <c r="F158" s="21"/>
      <c r="G158" s="22"/>
      <c r="H158" s="23"/>
      <c r="I158" s="21"/>
      <c r="J158" s="21"/>
      <c r="K158" s="21"/>
      <c r="L158" s="21"/>
      <c r="M158" s="21"/>
      <c r="N158" s="21"/>
      <c r="O158" s="21"/>
      <c r="P158" s="21"/>
      <c r="Q158" s="21"/>
      <c r="R158" s="21"/>
      <c r="S158" s="21"/>
    </row>
    <row r="159" spans="2:19" x14ac:dyDescent="0.35">
      <c r="B159" s="86" t="s">
        <v>5</v>
      </c>
      <c r="C159" s="4" t="s">
        <v>696</v>
      </c>
      <c r="D159" s="2"/>
      <c r="E159" s="21"/>
      <c r="F159" s="21"/>
      <c r="G159" s="22"/>
      <c r="H159" s="23"/>
      <c r="I159" s="21"/>
      <c r="J159" s="21"/>
      <c r="K159" s="21"/>
      <c r="L159" s="21"/>
      <c r="M159" s="21"/>
      <c r="N159" s="21"/>
      <c r="O159" s="21"/>
      <c r="P159" s="21"/>
      <c r="Q159" s="21"/>
      <c r="R159" s="21"/>
      <c r="S159" s="21"/>
    </row>
    <row r="160" spans="2:19" x14ac:dyDescent="0.35">
      <c r="B160" s="86" t="s">
        <v>699</v>
      </c>
      <c r="C160" s="4">
        <v>0.28699999999999998</v>
      </c>
      <c r="D160" s="2"/>
      <c r="E160" s="21"/>
      <c r="F160" s="21"/>
      <c r="G160" s="22"/>
      <c r="H160" s="23"/>
      <c r="I160" s="21"/>
      <c r="J160" s="21"/>
      <c r="K160" s="21"/>
      <c r="L160" s="21"/>
      <c r="M160" s="21"/>
      <c r="N160" s="21"/>
      <c r="O160" s="21"/>
      <c r="P160" s="21"/>
      <c r="Q160" s="21"/>
      <c r="R160" s="21"/>
      <c r="S160" s="21"/>
    </row>
    <row r="161" spans="2:19" x14ac:dyDescent="0.35">
      <c r="B161" s="86" t="s">
        <v>807</v>
      </c>
      <c r="C161" s="4" t="s">
        <v>698</v>
      </c>
      <c r="D161" s="2"/>
      <c r="E161" s="21"/>
      <c r="F161" s="21"/>
      <c r="G161" s="22"/>
      <c r="H161" s="23"/>
      <c r="I161" s="21"/>
      <c r="J161" s="21"/>
      <c r="K161" s="21"/>
      <c r="L161" s="21"/>
      <c r="M161" s="21"/>
      <c r="N161" s="21"/>
      <c r="O161" s="21"/>
      <c r="P161" s="21"/>
      <c r="Q161" s="21"/>
      <c r="R161" s="21"/>
      <c r="S161" s="21"/>
    </row>
    <row r="162" spans="2:19" x14ac:dyDescent="0.35">
      <c r="B162" s="86" t="s">
        <v>4</v>
      </c>
      <c r="C162" s="137">
        <f>C160*C134 / C127</f>
        <v>0.59472777777777774</v>
      </c>
      <c r="D162" s="2" t="s">
        <v>75</v>
      </c>
      <c r="E162" s="21"/>
      <c r="F162" s="21"/>
      <c r="G162" s="22"/>
      <c r="H162" s="23"/>
      <c r="I162" s="21"/>
      <c r="J162" s="21"/>
      <c r="K162" s="21"/>
      <c r="L162" s="21"/>
      <c r="M162" s="21"/>
      <c r="N162" s="21"/>
      <c r="O162" s="21"/>
      <c r="P162" s="21"/>
      <c r="Q162" s="21"/>
      <c r="R162" s="21"/>
      <c r="S162" s="21"/>
    </row>
    <row r="163" spans="2:19" x14ac:dyDescent="0.35">
      <c r="B163" s="86" t="s">
        <v>808</v>
      </c>
      <c r="C163" s="4" t="s">
        <v>700</v>
      </c>
      <c r="D163" s="2"/>
      <c r="E163" s="21"/>
      <c r="F163" s="21"/>
      <c r="G163" s="22"/>
      <c r="H163" s="23"/>
      <c r="I163" s="83"/>
      <c r="J163" s="21"/>
      <c r="K163" s="21"/>
      <c r="L163" s="21"/>
      <c r="M163" s="21"/>
      <c r="N163" s="21"/>
      <c r="O163" s="21"/>
      <c r="P163" s="21"/>
      <c r="Q163" s="21"/>
      <c r="R163" s="21"/>
      <c r="S163" s="21"/>
    </row>
    <row r="164" spans="2:19" x14ac:dyDescent="0.35">
      <c r="B164" s="86" t="s">
        <v>4</v>
      </c>
      <c r="C164" s="137">
        <f>C162/10</f>
        <v>5.9472777777777777E-2</v>
      </c>
      <c r="D164" s="2"/>
      <c r="E164" s="21"/>
      <c r="F164" s="21"/>
      <c r="G164" s="22"/>
      <c r="H164" s="23"/>
      <c r="I164" s="21"/>
      <c r="J164" s="21"/>
      <c r="K164" s="21"/>
      <c r="L164" s="21"/>
      <c r="M164" s="21"/>
      <c r="N164" s="21"/>
      <c r="O164" s="21"/>
      <c r="P164" s="21"/>
      <c r="Q164" s="21"/>
      <c r="R164" s="21"/>
      <c r="S164" s="21"/>
    </row>
    <row r="165" spans="2:19" x14ac:dyDescent="0.35">
      <c r="B165" s="86" t="s">
        <v>5</v>
      </c>
      <c r="C165" s="4" t="s">
        <v>696</v>
      </c>
      <c r="D165" s="2"/>
      <c r="E165" s="21"/>
      <c r="F165" s="21"/>
      <c r="G165" s="22"/>
      <c r="H165" s="23"/>
      <c r="I165" s="21"/>
      <c r="J165" s="21"/>
      <c r="K165" s="21"/>
      <c r="L165" s="21"/>
      <c r="M165" s="21"/>
      <c r="N165" s="21"/>
      <c r="O165" s="21"/>
      <c r="P165" s="21"/>
      <c r="Q165" s="21"/>
      <c r="R165" s="21"/>
      <c r="S165" s="21"/>
    </row>
    <row r="166" spans="2:19" ht="16" thickBot="1" x14ac:dyDescent="0.4">
      <c r="B166" s="86" t="s">
        <v>701</v>
      </c>
      <c r="C166" s="4" t="s">
        <v>697</v>
      </c>
      <c r="D166" s="2"/>
      <c r="E166" s="21"/>
      <c r="F166" s="21"/>
      <c r="G166" s="22"/>
      <c r="H166" s="23"/>
      <c r="I166" s="34"/>
      <c r="J166" s="34"/>
      <c r="K166" s="36"/>
      <c r="L166" s="21"/>
      <c r="M166" s="21"/>
      <c r="N166" s="21"/>
      <c r="O166" s="21"/>
      <c r="P166" s="21"/>
      <c r="Q166" s="21"/>
      <c r="R166" s="21"/>
      <c r="S166" s="21"/>
    </row>
    <row r="167" spans="2:19" ht="16" thickBot="1" x14ac:dyDescent="0.4">
      <c r="B167" s="86" t="s">
        <v>4</v>
      </c>
      <c r="C167" s="378">
        <f>C128 / (C162 - C164)</f>
        <v>1868.2683954376889</v>
      </c>
      <c r="D167" s="2" t="s">
        <v>28</v>
      </c>
      <c r="E167" s="21"/>
      <c r="F167" s="21"/>
      <c r="G167" s="22"/>
      <c r="H167" s="23"/>
      <c r="I167" s="35"/>
      <c r="J167" s="231"/>
      <c r="K167" s="36"/>
      <c r="L167" s="21"/>
      <c r="M167" s="21"/>
      <c r="N167" s="21"/>
      <c r="O167" s="21"/>
      <c r="P167" s="21"/>
      <c r="Q167" s="21"/>
      <c r="R167" s="21"/>
      <c r="S167" s="21"/>
    </row>
    <row r="168" spans="2:19" x14ac:dyDescent="0.35">
      <c r="E168" s="21"/>
      <c r="F168" s="21"/>
      <c r="G168" s="22"/>
      <c r="H168" s="23"/>
      <c r="I168" s="35"/>
      <c r="J168" s="231"/>
      <c r="K168" s="36"/>
      <c r="L168" s="21"/>
      <c r="M168" s="21"/>
      <c r="N168" s="21"/>
      <c r="O168" s="21"/>
      <c r="P168" s="21"/>
      <c r="Q168" s="21"/>
      <c r="R168" s="21"/>
      <c r="S168" s="21"/>
    </row>
    <row r="169" spans="2:19" ht="18" x14ac:dyDescent="0.4">
      <c r="B169" s="44" t="s">
        <v>29</v>
      </c>
      <c r="E169" s="21"/>
      <c r="F169" s="21"/>
      <c r="G169" s="22"/>
      <c r="H169" s="23"/>
      <c r="I169" s="36"/>
      <c r="J169" s="36"/>
      <c r="K169" s="36"/>
      <c r="L169" s="21"/>
      <c r="M169" s="21"/>
      <c r="N169" s="21"/>
      <c r="O169" s="21"/>
      <c r="P169" s="21"/>
      <c r="Q169" s="21"/>
      <c r="R169" s="21"/>
      <c r="S169" s="21"/>
    </row>
    <row r="170" spans="2:19" x14ac:dyDescent="0.35">
      <c r="E170" s="21"/>
      <c r="F170" s="21"/>
      <c r="G170" s="22"/>
      <c r="H170" s="23"/>
      <c r="I170" s="21"/>
      <c r="J170" s="21"/>
      <c r="K170" s="21"/>
      <c r="L170" s="21"/>
      <c r="M170" s="21"/>
      <c r="N170" s="21"/>
      <c r="O170" s="21"/>
      <c r="P170" s="21"/>
      <c r="Q170" s="21"/>
      <c r="R170" s="21"/>
      <c r="S170" s="21"/>
    </row>
    <row r="171" spans="2:19" x14ac:dyDescent="0.35">
      <c r="E171" s="21"/>
      <c r="F171" s="21"/>
      <c r="G171" s="14"/>
      <c r="H171" s="13"/>
      <c r="I171" s="21"/>
      <c r="J171" s="21"/>
      <c r="K171" s="21"/>
      <c r="L171" s="21"/>
      <c r="M171" s="21"/>
      <c r="N171" s="21"/>
      <c r="O171" s="21"/>
      <c r="P171" s="21"/>
      <c r="Q171" s="21"/>
      <c r="R171" s="21"/>
      <c r="S171" s="21"/>
    </row>
    <row r="172" spans="2:19" x14ac:dyDescent="0.35">
      <c r="E172" s="21"/>
      <c r="F172" s="21"/>
      <c r="G172" s="196"/>
      <c r="H172" s="23"/>
      <c r="I172" s="21"/>
      <c r="J172" s="21"/>
      <c r="K172" s="21"/>
      <c r="L172" s="21"/>
      <c r="M172" s="21"/>
      <c r="N172" s="21"/>
      <c r="O172" s="21"/>
      <c r="P172" s="21"/>
      <c r="Q172" s="21"/>
      <c r="R172" s="21"/>
      <c r="S172" s="21"/>
    </row>
    <row r="173" spans="2:19" x14ac:dyDescent="0.35">
      <c r="E173" s="21"/>
      <c r="F173" s="21"/>
      <c r="G173" s="196"/>
      <c r="H173" s="23"/>
      <c r="I173" s="21"/>
      <c r="J173" s="21"/>
      <c r="K173" s="21"/>
      <c r="L173" s="21"/>
      <c r="M173" s="21"/>
      <c r="N173" s="21"/>
      <c r="O173" s="21"/>
      <c r="P173" s="21"/>
      <c r="Q173" s="21"/>
      <c r="R173" s="21"/>
      <c r="S173" s="21"/>
    </row>
    <row r="174" spans="2:19" x14ac:dyDescent="0.35">
      <c r="E174" s="21"/>
      <c r="F174" s="21"/>
      <c r="G174" s="22"/>
      <c r="H174" s="23"/>
      <c r="I174" s="21"/>
      <c r="J174" s="21"/>
      <c r="K174" s="21"/>
      <c r="L174" s="21"/>
      <c r="M174" s="21"/>
      <c r="N174" s="21"/>
      <c r="O174" s="21"/>
      <c r="P174" s="21"/>
      <c r="Q174" s="21"/>
      <c r="R174" s="21"/>
      <c r="S174" s="21"/>
    </row>
    <row r="175" spans="2:19" x14ac:dyDescent="0.35">
      <c r="E175" s="21"/>
      <c r="F175" s="21"/>
      <c r="G175" s="22"/>
      <c r="H175" s="23"/>
      <c r="I175" s="21"/>
      <c r="J175" s="21"/>
      <c r="K175" s="21"/>
      <c r="L175" s="21"/>
      <c r="M175" s="21"/>
      <c r="N175" s="21"/>
      <c r="O175" s="21"/>
      <c r="P175" s="21"/>
      <c r="Q175" s="21"/>
      <c r="R175" s="21"/>
      <c r="S175" s="21"/>
    </row>
    <row r="176" spans="2:19" x14ac:dyDescent="0.35">
      <c r="E176" s="21"/>
      <c r="F176" s="21"/>
      <c r="G176" s="22"/>
      <c r="H176" s="23"/>
      <c r="I176" s="21"/>
      <c r="J176" s="21"/>
      <c r="K176" s="21"/>
      <c r="L176" s="21"/>
      <c r="M176" s="21"/>
      <c r="N176" s="21"/>
      <c r="O176" s="21"/>
      <c r="P176" s="21"/>
      <c r="Q176" s="21"/>
      <c r="R176" s="21"/>
      <c r="S176" s="21"/>
    </row>
    <row r="177" spans="5:19" x14ac:dyDescent="0.35">
      <c r="E177" s="21"/>
      <c r="F177" s="21"/>
      <c r="G177" s="22"/>
      <c r="H177" s="23"/>
      <c r="I177" s="21"/>
      <c r="J177" s="21"/>
      <c r="K177" s="21"/>
      <c r="L177" s="21"/>
      <c r="M177" s="21"/>
      <c r="N177" s="21"/>
      <c r="O177" s="21"/>
      <c r="P177" s="21"/>
      <c r="Q177" s="21"/>
      <c r="R177" s="21"/>
      <c r="S177" s="21"/>
    </row>
    <row r="178" spans="5:19" x14ac:dyDescent="0.35">
      <c r="E178" s="21"/>
      <c r="F178" s="21"/>
      <c r="G178" s="22"/>
      <c r="H178" s="23"/>
      <c r="I178" s="21"/>
      <c r="J178" s="21"/>
      <c r="K178" s="21"/>
      <c r="L178" s="21"/>
      <c r="M178" s="21"/>
      <c r="N178" s="21"/>
      <c r="O178" s="21"/>
      <c r="P178" s="21"/>
      <c r="Q178" s="21"/>
      <c r="R178" s="21"/>
      <c r="S178" s="21"/>
    </row>
    <row r="179" spans="5:19" x14ac:dyDescent="0.35">
      <c r="E179" s="21"/>
      <c r="F179" s="21"/>
      <c r="G179" s="22"/>
      <c r="H179" s="23"/>
      <c r="I179" s="21"/>
      <c r="J179" s="21"/>
      <c r="K179" s="21"/>
      <c r="L179" s="21"/>
      <c r="M179" s="21"/>
      <c r="N179" s="21"/>
      <c r="O179" s="21"/>
      <c r="P179" s="21"/>
      <c r="Q179" s="21"/>
      <c r="R179" s="21"/>
      <c r="S179" s="21"/>
    </row>
    <row r="180" spans="5:19" x14ac:dyDescent="0.35">
      <c r="E180" s="21"/>
      <c r="F180" s="21"/>
      <c r="G180" s="22"/>
      <c r="H180" s="23"/>
      <c r="I180" s="21"/>
      <c r="J180" s="21"/>
      <c r="K180" s="21"/>
      <c r="L180" s="21"/>
      <c r="M180" s="21"/>
      <c r="N180" s="21"/>
      <c r="O180" s="21"/>
      <c r="P180" s="21"/>
      <c r="Q180" s="21"/>
      <c r="R180" s="21"/>
      <c r="S180" s="21"/>
    </row>
    <row r="181" spans="5:19" x14ac:dyDescent="0.35">
      <c r="E181" s="21"/>
      <c r="F181" s="21"/>
      <c r="G181" s="22"/>
      <c r="H181" s="23"/>
      <c r="I181" s="21"/>
      <c r="J181" s="21"/>
      <c r="K181" s="21"/>
      <c r="L181" s="21"/>
      <c r="M181" s="21"/>
      <c r="N181" s="21"/>
      <c r="O181" s="21"/>
      <c r="P181" s="21"/>
      <c r="Q181" s="21"/>
      <c r="R181" s="21"/>
      <c r="S181" s="21"/>
    </row>
    <row r="182" spans="5:19" x14ac:dyDescent="0.35">
      <c r="E182" s="21"/>
      <c r="F182" s="21"/>
      <c r="G182" s="22"/>
      <c r="H182" s="23"/>
      <c r="I182" s="21"/>
      <c r="J182" s="21"/>
      <c r="K182" s="21"/>
      <c r="L182" s="21"/>
      <c r="M182" s="21"/>
      <c r="N182" s="21"/>
      <c r="O182" s="21"/>
      <c r="P182" s="21"/>
      <c r="Q182" s="21"/>
      <c r="R182" s="21"/>
      <c r="S182" s="21"/>
    </row>
    <row r="183" spans="5:19" x14ac:dyDescent="0.35">
      <c r="E183" s="21"/>
      <c r="F183" s="21"/>
      <c r="G183" s="22"/>
      <c r="H183" s="23"/>
      <c r="I183" s="21"/>
      <c r="J183" s="21"/>
      <c r="K183" s="21"/>
      <c r="L183" s="21"/>
      <c r="M183" s="21"/>
      <c r="N183" s="21"/>
      <c r="O183" s="21"/>
      <c r="P183" s="21"/>
      <c r="Q183" s="21"/>
      <c r="R183" s="21"/>
      <c r="S183" s="21"/>
    </row>
    <row r="184" spans="5:19" x14ac:dyDescent="0.35">
      <c r="E184" s="21"/>
      <c r="F184" s="21"/>
      <c r="G184" s="22"/>
      <c r="H184" s="23"/>
      <c r="I184" s="21"/>
      <c r="J184" s="21"/>
      <c r="K184" s="21"/>
      <c r="L184" s="21"/>
      <c r="M184" s="21"/>
      <c r="N184" s="21"/>
      <c r="O184" s="21"/>
      <c r="P184" s="21"/>
      <c r="Q184" s="21"/>
      <c r="R184" s="21"/>
      <c r="S184" s="21"/>
    </row>
    <row r="185" spans="5:19" x14ac:dyDescent="0.35">
      <c r="E185" s="21"/>
      <c r="F185" s="21"/>
      <c r="G185" s="22"/>
      <c r="H185" s="23"/>
      <c r="I185" s="21"/>
      <c r="J185" s="21"/>
      <c r="K185" s="21"/>
      <c r="L185" s="21"/>
      <c r="M185" s="21"/>
      <c r="N185" s="21"/>
      <c r="O185" s="21"/>
      <c r="P185" s="21"/>
      <c r="Q185" s="21"/>
      <c r="R185" s="21"/>
      <c r="S185" s="21"/>
    </row>
    <row r="186" spans="5:19" x14ac:dyDescent="0.35">
      <c r="E186" s="21"/>
      <c r="F186" s="21"/>
      <c r="G186" s="22"/>
      <c r="H186" s="23"/>
      <c r="I186" s="21"/>
      <c r="J186" s="21"/>
      <c r="K186" s="21"/>
      <c r="L186" s="21"/>
      <c r="M186" s="21"/>
      <c r="N186" s="21"/>
      <c r="O186" s="21"/>
      <c r="P186" s="21"/>
      <c r="Q186" s="21"/>
      <c r="R186" s="21"/>
      <c r="S186" s="21"/>
    </row>
    <row r="187" spans="5:19" x14ac:dyDescent="0.35">
      <c r="E187" s="21"/>
      <c r="F187" s="21"/>
      <c r="G187" s="22"/>
      <c r="H187" s="23"/>
      <c r="I187" s="21"/>
      <c r="J187" s="21"/>
      <c r="K187" s="21"/>
      <c r="L187" s="21"/>
      <c r="M187" s="21"/>
      <c r="N187" s="21"/>
      <c r="O187" s="21"/>
      <c r="P187" s="21"/>
      <c r="Q187" s="21"/>
      <c r="R187" s="21"/>
      <c r="S187" s="21"/>
    </row>
    <row r="188" spans="5:19" x14ac:dyDescent="0.35">
      <c r="E188" s="21"/>
      <c r="F188" s="21"/>
      <c r="G188" s="22"/>
      <c r="H188" s="23"/>
      <c r="I188" s="21"/>
      <c r="J188" s="21"/>
      <c r="K188" s="21"/>
      <c r="L188" s="21"/>
      <c r="M188" s="21"/>
      <c r="N188" s="21"/>
      <c r="O188" s="21"/>
      <c r="P188" s="21"/>
      <c r="Q188" s="21"/>
      <c r="R188" s="21"/>
      <c r="S188" s="21"/>
    </row>
    <row r="189" spans="5:19" x14ac:dyDescent="0.35">
      <c r="E189" s="21"/>
      <c r="F189" s="21"/>
      <c r="G189" s="22"/>
      <c r="H189" s="23"/>
      <c r="I189" s="21"/>
      <c r="J189" s="21"/>
      <c r="K189" s="21"/>
      <c r="L189" s="21"/>
      <c r="M189" s="21"/>
      <c r="N189" s="21"/>
      <c r="O189" s="21"/>
      <c r="P189" s="21"/>
      <c r="Q189" s="21"/>
      <c r="R189" s="21"/>
      <c r="S189" s="21"/>
    </row>
    <row r="190" spans="5:19" x14ac:dyDescent="0.35">
      <c r="E190" s="21"/>
      <c r="F190" s="21"/>
      <c r="G190" s="22"/>
      <c r="H190" s="23"/>
      <c r="I190" s="21"/>
      <c r="J190" s="21"/>
      <c r="K190" s="21"/>
      <c r="L190" s="21"/>
      <c r="M190" s="21"/>
      <c r="N190" s="21"/>
      <c r="O190" s="21"/>
      <c r="P190" s="21"/>
      <c r="Q190" s="21"/>
      <c r="R190" s="21"/>
      <c r="S190" s="21"/>
    </row>
    <row r="191" spans="5:19" x14ac:dyDescent="0.35">
      <c r="E191" s="21"/>
      <c r="F191" s="21"/>
      <c r="G191" s="22"/>
      <c r="H191" s="23"/>
      <c r="I191" s="21"/>
      <c r="J191" s="21"/>
      <c r="K191" s="21"/>
      <c r="L191" s="21"/>
      <c r="M191" s="21"/>
      <c r="N191" s="21"/>
      <c r="O191" s="21"/>
      <c r="P191" s="21"/>
      <c r="Q191" s="21"/>
      <c r="R191" s="21"/>
      <c r="S191" s="21"/>
    </row>
    <row r="192" spans="5:19" x14ac:dyDescent="0.35">
      <c r="E192" s="21"/>
      <c r="F192" s="21"/>
      <c r="G192" s="22"/>
      <c r="H192" s="23"/>
      <c r="I192" s="21"/>
      <c r="J192" s="21"/>
      <c r="K192" s="21"/>
      <c r="L192" s="21"/>
      <c r="M192" s="21"/>
      <c r="N192" s="21"/>
      <c r="O192" s="21"/>
      <c r="P192" s="21"/>
      <c r="Q192" s="21"/>
      <c r="R192" s="21"/>
      <c r="S192" s="21"/>
    </row>
    <row r="193" spans="5:19" x14ac:dyDescent="0.35">
      <c r="E193" s="21"/>
      <c r="F193" s="21"/>
      <c r="G193" s="22"/>
      <c r="H193" s="23"/>
      <c r="I193" s="21"/>
      <c r="J193" s="21"/>
      <c r="K193" s="21"/>
      <c r="L193" s="21"/>
      <c r="M193" s="21"/>
      <c r="N193" s="21"/>
      <c r="O193" s="21"/>
      <c r="P193" s="21"/>
      <c r="Q193" s="21"/>
      <c r="R193" s="21"/>
      <c r="S193" s="21"/>
    </row>
    <row r="194" spans="5:19" x14ac:dyDescent="0.35">
      <c r="E194" s="21"/>
      <c r="F194" s="21"/>
      <c r="G194" s="22"/>
      <c r="H194" s="23"/>
      <c r="I194" s="21"/>
      <c r="J194" s="21"/>
      <c r="K194" s="21"/>
      <c r="L194" s="21"/>
      <c r="M194" s="21"/>
      <c r="N194" s="21"/>
      <c r="O194" s="21"/>
      <c r="P194" s="21"/>
      <c r="Q194" s="21"/>
      <c r="R194" s="21"/>
      <c r="S194" s="21"/>
    </row>
    <row r="195" spans="5:19" x14ac:dyDescent="0.35">
      <c r="E195" s="21"/>
      <c r="F195" s="21"/>
      <c r="G195" s="22"/>
      <c r="H195" s="23"/>
      <c r="I195" s="21"/>
      <c r="J195" s="21"/>
      <c r="K195" s="21"/>
      <c r="L195" s="21"/>
      <c r="M195" s="21"/>
      <c r="N195" s="21"/>
      <c r="O195" s="21"/>
      <c r="P195" s="21"/>
      <c r="Q195" s="21"/>
      <c r="R195" s="21"/>
      <c r="S195" s="21"/>
    </row>
    <row r="196" spans="5:19" x14ac:dyDescent="0.35">
      <c r="E196" s="21"/>
      <c r="F196" s="21"/>
      <c r="G196" s="22"/>
      <c r="H196" s="23"/>
      <c r="I196" s="21"/>
      <c r="J196" s="21"/>
      <c r="K196" s="21"/>
      <c r="L196" s="21"/>
      <c r="M196" s="21"/>
      <c r="N196" s="21"/>
      <c r="O196" s="21"/>
      <c r="P196" s="21"/>
      <c r="Q196" s="21"/>
      <c r="R196" s="21"/>
      <c r="S196" s="21"/>
    </row>
    <row r="197" spans="5:19" x14ac:dyDescent="0.35">
      <c r="E197" s="21"/>
      <c r="F197" s="21"/>
      <c r="G197" s="22"/>
      <c r="H197" s="23"/>
      <c r="I197" s="21"/>
      <c r="J197" s="21"/>
      <c r="K197" s="21"/>
      <c r="L197" s="21"/>
      <c r="M197" s="21"/>
      <c r="N197" s="21"/>
      <c r="O197" s="21"/>
      <c r="P197" s="21"/>
      <c r="Q197" s="21"/>
      <c r="R197" s="21"/>
      <c r="S197" s="21"/>
    </row>
    <row r="198" spans="5:19" x14ac:dyDescent="0.35">
      <c r="E198" s="21"/>
      <c r="F198" s="21"/>
      <c r="G198" s="22"/>
      <c r="H198" s="23"/>
      <c r="I198" s="21"/>
      <c r="J198" s="21"/>
      <c r="K198" s="21"/>
      <c r="L198" s="21"/>
      <c r="M198" s="21"/>
      <c r="N198" s="21"/>
      <c r="O198" s="21"/>
      <c r="P198" s="21"/>
      <c r="Q198" s="21"/>
      <c r="R198" s="21"/>
      <c r="S198" s="21"/>
    </row>
    <row r="199" spans="5:19" x14ac:dyDescent="0.35">
      <c r="E199" s="21"/>
      <c r="F199" s="21"/>
      <c r="G199" s="22"/>
      <c r="H199" s="23"/>
      <c r="I199" s="21"/>
      <c r="J199" s="21"/>
      <c r="K199" s="21"/>
      <c r="L199" s="21"/>
      <c r="M199" s="21"/>
      <c r="N199" s="21"/>
      <c r="O199" s="21"/>
      <c r="P199" s="21"/>
      <c r="Q199" s="21"/>
      <c r="R199" s="21"/>
      <c r="S199" s="21"/>
    </row>
    <row r="200" spans="5:19" x14ac:dyDescent="0.35">
      <c r="E200" s="21"/>
      <c r="F200" s="21"/>
      <c r="G200" s="22"/>
      <c r="H200" s="23"/>
      <c r="I200" s="21"/>
      <c r="J200" s="21"/>
      <c r="K200" s="21"/>
      <c r="L200" s="21"/>
      <c r="M200" s="21"/>
      <c r="N200" s="21"/>
      <c r="O200" s="21"/>
      <c r="P200" s="21"/>
      <c r="Q200" s="21"/>
      <c r="R200" s="21"/>
      <c r="S200" s="21"/>
    </row>
    <row r="201" spans="5:19" x14ac:dyDescent="0.35">
      <c r="E201" s="21"/>
      <c r="F201" s="21"/>
      <c r="G201" s="22"/>
      <c r="H201" s="23"/>
      <c r="I201" s="21"/>
      <c r="J201" s="21"/>
      <c r="K201" s="21"/>
      <c r="L201" s="21"/>
      <c r="M201" s="21"/>
      <c r="N201" s="21"/>
      <c r="O201" s="21"/>
      <c r="P201" s="21"/>
      <c r="Q201" s="21"/>
      <c r="R201" s="21"/>
      <c r="S201" s="21"/>
    </row>
    <row r="202" spans="5:19" x14ac:dyDescent="0.35">
      <c r="E202" s="21"/>
      <c r="F202" s="21"/>
      <c r="G202" s="22"/>
      <c r="H202" s="23"/>
      <c r="I202" s="21"/>
      <c r="J202" s="21"/>
      <c r="K202" s="21"/>
      <c r="L202" s="21"/>
      <c r="M202" s="21"/>
      <c r="N202" s="21"/>
      <c r="O202" s="21"/>
      <c r="P202" s="21"/>
      <c r="Q202" s="21"/>
      <c r="R202" s="21"/>
      <c r="S202" s="21"/>
    </row>
    <row r="203" spans="5:19" x14ac:dyDescent="0.35">
      <c r="E203" s="21"/>
      <c r="F203" s="21"/>
      <c r="G203" s="22"/>
      <c r="H203" s="23"/>
      <c r="I203" s="21"/>
      <c r="J203" s="21"/>
      <c r="K203" s="21"/>
      <c r="L203" s="21"/>
      <c r="M203" s="21"/>
      <c r="N203" s="21"/>
      <c r="O203" s="21"/>
      <c r="P203" s="21"/>
      <c r="Q203" s="21"/>
      <c r="R203" s="21"/>
      <c r="S203" s="21"/>
    </row>
    <row r="204" spans="5:19" x14ac:dyDescent="0.35">
      <c r="E204" s="21"/>
      <c r="F204" s="21"/>
      <c r="G204" s="22"/>
      <c r="H204" s="23"/>
      <c r="I204" s="21"/>
      <c r="J204" s="21"/>
      <c r="K204" s="21"/>
      <c r="L204" s="21"/>
      <c r="M204" s="21"/>
      <c r="N204" s="21"/>
      <c r="O204" s="21"/>
      <c r="P204" s="21"/>
      <c r="Q204" s="21"/>
      <c r="R204" s="21"/>
      <c r="S204" s="21"/>
    </row>
    <row r="205" spans="5:19" x14ac:dyDescent="0.35">
      <c r="E205" s="21"/>
      <c r="F205" s="21"/>
      <c r="G205" s="22"/>
      <c r="H205" s="23"/>
      <c r="I205" s="21"/>
      <c r="J205" s="21"/>
      <c r="K205" s="21"/>
      <c r="L205" s="21"/>
      <c r="M205" s="21"/>
      <c r="N205" s="21"/>
      <c r="O205" s="21"/>
      <c r="P205" s="21"/>
      <c r="Q205" s="21"/>
      <c r="R205" s="21"/>
      <c r="S205" s="21"/>
    </row>
    <row r="206" spans="5:19" x14ac:dyDescent="0.35">
      <c r="E206" s="21"/>
      <c r="F206" s="21"/>
      <c r="G206" s="22"/>
      <c r="H206" s="23"/>
      <c r="I206" s="21"/>
      <c r="J206" s="21"/>
      <c r="K206" s="21"/>
      <c r="L206" s="21"/>
      <c r="M206" s="21"/>
      <c r="N206" s="21"/>
      <c r="O206" s="21"/>
      <c r="P206" s="21"/>
      <c r="Q206" s="21"/>
      <c r="R206" s="21"/>
      <c r="S206" s="21"/>
    </row>
    <row r="207" spans="5:19" x14ac:dyDescent="0.35">
      <c r="E207" s="21"/>
      <c r="F207" s="21"/>
      <c r="G207" s="22"/>
      <c r="H207" s="23"/>
      <c r="I207" s="21"/>
      <c r="J207" s="21"/>
      <c r="K207" s="21"/>
      <c r="L207" s="21"/>
      <c r="M207" s="21"/>
      <c r="N207" s="21"/>
      <c r="O207" s="21"/>
      <c r="P207" s="21"/>
      <c r="Q207" s="21"/>
      <c r="R207" s="21"/>
      <c r="S207" s="21"/>
    </row>
    <row r="208" spans="5:19" x14ac:dyDescent="0.35">
      <c r="E208" s="21"/>
      <c r="F208" s="21"/>
      <c r="G208" s="22"/>
      <c r="H208" s="23"/>
      <c r="I208" s="21"/>
      <c r="J208" s="21"/>
      <c r="K208" s="21"/>
      <c r="L208" s="21"/>
      <c r="M208" s="21"/>
      <c r="N208" s="21"/>
      <c r="O208" s="21"/>
      <c r="P208" s="21"/>
      <c r="Q208" s="21"/>
      <c r="R208" s="21"/>
      <c r="S208" s="21"/>
    </row>
    <row r="209" spans="5:19" x14ac:dyDescent="0.35">
      <c r="E209" s="21"/>
      <c r="F209" s="21"/>
      <c r="G209" s="22"/>
      <c r="H209" s="23"/>
      <c r="I209" s="21"/>
      <c r="J209" s="21"/>
      <c r="K209" s="21"/>
      <c r="L209" s="21"/>
      <c r="M209" s="21"/>
      <c r="N209" s="21"/>
      <c r="O209" s="21"/>
      <c r="P209" s="21"/>
      <c r="Q209" s="21"/>
      <c r="R209" s="21"/>
      <c r="S209" s="21"/>
    </row>
    <row r="210" spans="5:19" x14ac:dyDescent="0.35">
      <c r="E210" s="21"/>
      <c r="F210" s="21"/>
      <c r="G210" s="22"/>
      <c r="H210" s="23"/>
      <c r="I210" s="21"/>
      <c r="J210" s="21"/>
      <c r="K210" s="21"/>
      <c r="L210" s="21"/>
      <c r="M210" s="21"/>
      <c r="N210" s="21"/>
      <c r="O210" s="21"/>
      <c r="P210" s="21"/>
      <c r="Q210" s="21"/>
      <c r="R210" s="21"/>
      <c r="S210" s="21"/>
    </row>
    <row r="211" spans="5:19" x14ac:dyDescent="0.35">
      <c r="E211" s="21"/>
      <c r="F211" s="21"/>
      <c r="G211" s="22"/>
      <c r="H211" s="23"/>
      <c r="I211" s="21"/>
      <c r="J211" s="21"/>
      <c r="K211" s="21"/>
      <c r="L211" s="21"/>
      <c r="M211" s="21"/>
      <c r="N211" s="21"/>
      <c r="O211" s="21"/>
      <c r="P211" s="21"/>
      <c r="Q211" s="21"/>
      <c r="R211" s="21"/>
      <c r="S211" s="21"/>
    </row>
    <row r="212" spans="5:19" x14ac:dyDescent="0.35">
      <c r="E212" s="21"/>
      <c r="F212" s="21"/>
      <c r="G212" s="22"/>
      <c r="H212" s="23"/>
      <c r="I212" s="21"/>
      <c r="J212" s="21"/>
      <c r="K212" s="21"/>
      <c r="L212" s="21"/>
      <c r="M212" s="21"/>
      <c r="N212" s="21"/>
      <c r="O212" s="21"/>
      <c r="P212" s="21"/>
      <c r="Q212" s="21"/>
      <c r="R212" s="21"/>
      <c r="S212" s="21"/>
    </row>
    <row r="213" spans="5:19" x14ac:dyDescent="0.35">
      <c r="E213" s="21"/>
      <c r="F213" s="21"/>
      <c r="G213" s="22"/>
      <c r="H213" s="23"/>
      <c r="I213" s="21"/>
      <c r="J213" s="21"/>
      <c r="K213" s="21"/>
      <c r="L213" s="21"/>
      <c r="M213" s="21"/>
      <c r="N213" s="21"/>
      <c r="O213" s="21"/>
      <c r="P213" s="21"/>
      <c r="Q213" s="21"/>
      <c r="R213" s="21"/>
      <c r="S213" s="21"/>
    </row>
    <row r="214" spans="5:19" x14ac:dyDescent="0.35">
      <c r="E214" s="21"/>
      <c r="F214" s="21"/>
      <c r="G214" s="22"/>
      <c r="H214" s="23"/>
      <c r="I214" s="21"/>
      <c r="J214" s="21"/>
      <c r="K214" s="21"/>
      <c r="L214" s="21"/>
      <c r="M214" s="21"/>
      <c r="N214" s="21"/>
      <c r="O214" s="21"/>
      <c r="P214" s="21"/>
      <c r="Q214" s="21"/>
      <c r="R214" s="21"/>
      <c r="S214" s="21"/>
    </row>
    <row r="215" spans="5:19" x14ac:dyDescent="0.35">
      <c r="E215" s="21"/>
      <c r="F215" s="21"/>
      <c r="G215" s="22"/>
      <c r="H215" s="23"/>
      <c r="I215" s="21"/>
      <c r="J215" s="21"/>
      <c r="K215" s="21"/>
      <c r="L215" s="21"/>
      <c r="M215" s="21"/>
      <c r="N215" s="21"/>
      <c r="O215" s="21"/>
      <c r="P215" s="21"/>
      <c r="Q215" s="21"/>
      <c r="R215" s="21"/>
      <c r="S215" s="21"/>
    </row>
    <row r="216" spans="5:19" x14ac:dyDescent="0.35">
      <c r="E216" s="21"/>
      <c r="F216" s="21"/>
      <c r="G216" s="22"/>
      <c r="H216" s="23"/>
      <c r="I216" s="21"/>
      <c r="J216" s="21"/>
      <c r="K216" s="21"/>
      <c r="L216" s="21"/>
      <c r="M216" s="21"/>
      <c r="N216" s="21"/>
      <c r="O216" s="21"/>
      <c r="P216" s="21"/>
      <c r="Q216" s="21"/>
      <c r="R216" s="21"/>
      <c r="S216" s="21"/>
    </row>
    <row r="217" spans="5:19" x14ac:dyDescent="0.35">
      <c r="E217" s="21"/>
      <c r="F217" s="21"/>
      <c r="G217" s="22"/>
      <c r="H217" s="23"/>
      <c r="I217" s="21"/>
      <c r="J217" s="21"/>
      <c r="K217" s="21"/>
      <c r="L217" s="21"/>
      <c r="M217" s="21"/>
      <c r="N217" s="21"/>
      <c r="O217" s="21"/>
      <c r="P217" s="21"/>
      <c r="Q217" s="21"/>
      <c r="R217" s="21"/>
      <c r="S217" s="21"/>
    </row>
    <row r="218" spans="5:19" x14ac:dyDescent="0.35">
      <c r="E218" s="21"/>
      <c r="F218" s="21"/>
      <c r="G218" s="22"/>
      <c r="H218" s="23"/>
      <c r="I218" s="21"/>
      <c r="J218" s="21"/>
      <c r="K218" s="21"/>
      <c r="L218" s="21"/>
      <c r="M218" s="21"/>
      <c r="N218" s="21"/>
      <c r="O218" s="21"/>
      <c r="P218" s="21"/>
      <c r="Q218" s="21"/>
      <c r="R218" s="21"/>
      <c r="S218" s="21"/>
    </row>
    <row r="219" spans="5:19" x14ac:dyDescent="0.35">
      <c r="E219" s="21"/>
      <c r="F219" s="21"/>
      <c r="G219" s="22"/>
      <c r="H219" s="23"/>
      <c r="I219" s="21"/>
      <c r="J219" s="21"/>
      <c r="K219" s="21"/>
      <c r="L219" s="21"/>
      <c r="M219" s="21"/>
      <c r="N219" s="21"/>
      <c r="O219" s="21"/>
      <c r="P219" s="21"/>
      <c r="Q219" s="21"/>
      <c r="R219" s="21"/>
      <c r="S219" s="21"/>
    </row>
    <row r="220" spans="5:19" x14ac:dyDescent="0.35">
      <c r="E220" s="21"/>
      <c r="F220" s="21"/>
      <c r="G220" s="22"/>
      <c r="H220" s="23"/>
      <c r="I220" s="21"/>
      <c r="J220" s="21"/>
      <c r="K220" s="21"/>
      <c r="L220" s="21"/>
      <c r="M220" s="21"/>
      <c r="N220" s="21"/>
      <c r="O220" s="21"/>
      <c r="P220" s="21"/>
      <c r="Q220" s="21"/>
      <c r="R220" s="21"/>
      <c r="S220" s="21"/>
    </row>
    <row r="221" spans="5:19" x14ac:dyDescent="0.35">
      <c r="E221" s="21"/>
      <c r="F221" s="21"/>
      <c r="G221" s="22"/>
      <c r="H221" s="23"/>
      <c r="I221" s="21"/>
      <c r="J221" s="21"/>
      <c r="K221" s="21"/>
      <c r="L221" s="21"/>
      <c r="M221" s="21"/>
      <c r="N221" s="21"/>
      <c r="O221" s="21"/>
      <c r="P221" s="21"/>
      <c r="Q221" s="21"/>
      <c r="R221" s="21"/>
      <c r="S221" s="21"/>
    </row>
    <row r="222" spans="5:19" x14ac:dyDescent="0.35">
      <c r="E222" s="21"/>
      <c r="F222" s="21"/>
      <c r="G222" s="22"/>
      <c r="H222" s="23"/>
      <c r="I222" s="21"/>
      <c r="J222" s="21"/>
      <c r="K222" s="21"/>
      <c r="L222" s="21"/>
      <c r="M222" s="21"/>
      <c r="N222" s="21"/>
      <c r="O222" s="21"/>
      <c r="P222" s="21"/>
      <c r="Q222" s="21"/>
      <c r="R222" s="21"/>
      <c r="S222" s="21"/>
    </row>
    <row r="223" spans="5:19" x14ac:dyDescent="0.35">
      <c r="E223" s="21"/>
      <c r="F223" s="21"/>
      <c r="G223" s="22"/>
      <c r="H223" s="23"/>
      <c r="I223" s="21"/>
      <c r="J223" s="21"/>
      <c r="K223" s="21"/>
      <c r="L223" s="21"/>
      <c r="M223" s="21"/>
      <c r="N223" s="21"/>
      <c r="O223" s="21"/>
      <c r="P223" s="21"/>
      <c r="Q223" s="21"/>
      <c r="R223" s="21"/>
      <c r="S223" s="21"/>
    </row>
    <row r="224" spans="5:19" x14ac:dyDescent="0.35">
      <c r="E224" s="21"/>
      <c r="F224" s="21"/>
      <c r="G224" s="22"/>
      <c r="H224" s="23"/>
      <c r="I224" s="21"/>
      <c r="J224" s="21"/>
      <c r="K224" s="21"/>
      <c r="L224" s="21"/>
      <c r="M224" s="21"/>
      <c r="N224" s="21"/>
      <c r="O224" s="21"/>
      <c r="P224" s="21"/>
      <c r="Q224" s="21"/>
      <c r="R224" s="21"/>
      <c r="S224" s="21"/>
    </row>
    <row r="225" spans="2:19" x14ac:dyDescent="0.35">
      <c r="E225" s="21"/>
      <c r="F225" s="21"/>
      <c r="G225" s="22"/>
      <c r="H225" s="23"/>
      <c r="I225" s="21"/>
      <c r="J225" s="21"/>
      <c r="K225" s="21"/>
      <c r="L225" s="21"/>
      <c r="M225" s="21"/>
      <c r="N225" s="21"/>
      <c r="O225" s="21"/>
      <c r="P225" s="21"/>
      <c r="Q225" s="21"/>
      <c r="R225" s="21"/>
      <c r="S225" s="21"/>
    </row>
    <row r="226" spans="2:19" x14ac:dyDescent="0.35">
      <c r="E226" s="21"/>
      <c r="F226" s="21"/>
      <c r="G226" s="22"/>
      <c r="H226" s="23"/>
      <c r="I226" s="21"/>
      <c r="J226" s="21"/>
      <c r="K226" s="21"/>
      <c r="L226" s="21"/>
      <c r="M226" s="21"/>
      <c r="N226" s="21"/>
      <c r="O226" s="21"/>
      <c r="P226" s="21"/>
      <c r="Q226" s="21"/>
      <c r="R226" s="21"/>
      <c r="S226" s="21"/>
    </row>
    <row r="227" spans="2:19" x14ac:dyDescent="0.35">
      <c r="E227" s="21"/>
      <c r="F227" s="21"/>
      <c r="G227" s="22"/>
      <c r="H227" s="23"/>
      <c r="I227" s="21"/>
      <c r="J227" s="21"/>
      <c r="K227" s="21"/>
      <c r="L227" s="21"/>
      <c r="M227" s="21"/>
      <c r="N227" s="21"/>
      <c r="O227" s="21"/>
      <c r="P227" s="21"/>
      <c r="Q227" s="21"/>
      <c r="R227" s="21"/>
      <c r="S227" s="21"/>
    </row>
    <row r="228" spans="2:19" x14ac:dyDescent="0.35">
      <c r="E228" s="21"/>
      <c r="F228" s="21"/>
      <c r="G228" s="22"/>
      <c r="H228" s="23"/>
      <c r="I228" s="21"/>
      <c r="J228" s="21"/>
      <c r="K228" s="21"/>
      <c r="L228" s="21"/>
      <c r="M228" s="21"/>
      <c r="N228" s="21"/>
      <c r="O228" s="21"/>
      <c r="P228" s="21"/>
      <c r="Q228" s="21"/>
      <c r="R228" s="21"/>
      <c r="S228" s="21"/>
    </row>
    <row r="229" spans="2:19" x14ac:dyDescent="0.35">
      <c r="E229" s="21"/>
      <c r="F229" s="21"/>
      <c r="G229" s="22"/>
      <c r="H229" s="23"/>
      <c r="I229" s="21"/>
      <c r="J229" s="21"/>
      <c r="K229" s="21"/>
      <c r="L229" s="21"/>
      <c r="M229" s="21"/>
      <c r="N229" s="21"/>
      <c r="O229" s="21"/>
      <c r="P229" s="21"/>
      <c r="Q229" s="21"/>
      <c r="R229" s="21"/>
      <c r="S229" s="21"/>
    </row>
    <row r="230" spans="2:19" ht="18" x14ac:dyDescent="0.4">
      <c r="B230" s="44" t="s">
        <v>64</v>
      </c>
      <c r="E230" s="21"/>
      <c r="F230" s="21"/>
      <c r="G230" s="22"/>
      <c r="H230" s="23"/>
      <c r="I230" s="21"/>
      <c r="J230" s="21"/>
      <c r="K230" s="21"/>
      <c r="L230" s="21"/>
      <c r="M230" s="21"/>
      <c r="N230" s="21"/>
      <c r="O230" s="21"/>
      <c r="P230" s="21"/>
      <c r="Q230" s="21"/>
      <c r="R230" s="21"/>
      <c r="S230" s="21"/>
    </row>
    <row r="231" spans="2:19" ht="16" thickBot="1" x14ac:dyDescent="0.4">
      <c r="C231" s="88" t="s">
        <v>2</v>
      </c>
      <c r="E231" s="21"/>
      <c r="F231" s="21"/>
      <c r="G231" s="22"/>
      <c r="H231" s="23"/>
      <c r="I231" s="21"/>
      <c r="J231" s="21"/>
      <c r="K231" s="21"/>
      <c r="L231" s="21"/>
      <c r="M231" s="21"/>
      <c r="N231" s="21"/>
      <c r="O231" s="21"/>
      <c r="P231" s="21"/>
      <c r="Q231" s="21"/>
      <c r="R231" s="21"/>
      <c r="S231" s="21"/>
    </row>
    <row r="232" spans="2:19" x14ac:dyDescent="0.35">
      <c r="B232" s="29" t="s">
        <v>60</v>
      </c>
      <c r="C232" s="89">
        <v>200</v>
      </c>
      <c r="D232" s="20" t="s">
        <v>33</v>
      </c>
      <c r="E232" s="21"/>
      <c r="F232" s="21"/>
      <c r="G232" s="22"/>
      <c r="H232" s="23"/>
      <c r="I232" s="21"/>
      <c r="J232" s="21"/>
      <c r="K232" s="21"/>
      <c r="L232" s="21"/>
      <c r="M232" s="21"/>
      <c r="N232" s="21"/>
      <c r="O232" s="21"/>
      <c r="P232" s="21"/>
      <c r="Q232" s="21"/>
      <c r="R232" s="21"/>
      <c r="S232" s="21"/>
    </row>
    <row r="233" spans="2:19" x14ac:dyDescent="0.35">
      <c r="B233" s="29" t="s">
        <v>58</v>
      </c>
      <c r="C233" s="135">
        <v>4</v>
      </c>
      <c r="D233" s="20" t="s">
        <v>16</v>
      </c>
      <c r="E233" s="21"/>
      <c r="F233" s="21"/>
      <c r="G233" s="22"/>
      <c r="H233" s="23"/>
      <c r="I233" s="21"/>
      <c r="J233" s="21"/>
      <c r="K233" s="21"/>
      <c r="L233" s="21"/>
      <c r="M233" s="21"/>
      <c r="N233" s="21"/>
      <c r="O233" s="21"/>
      <c r="P233" s="21"/>
      <c r="Q233" s="21"/>
      <c r="R233" s="21"/>
      <c r="S233" s="21"/>
    </row>
    <row r="234" spans="2:19" x14ac:dyDescent="0.35">
      <c r="B234" s="29" t="s">
        <v>47</v>
      </c>
      <c r="C234" s="135">
        <v>1</v>
      </c>
      <c r="D234" s="20" t="s">
        <v>16</v>
      </c>
      <c r="E234" s="21"/>
      <c r="F234" s="21"/>
      <c r="G234" s="22"/>
      <c r="H234" s="23"/>
      <c r="I234" s="21"/>
      <c r="J234" s="21"/>
      <c r="K234" s="21"/>
      <c r="L234" s="21"/>
      <c r="M234" s="21"/>
      <c r="N234" s="21"/>
      <c r="O234" s="21"/>
      <c r="P234" s="21"/>
      <c r="Q234" s="21"/>
      <c r="R234" s="21"/>
      <c r="S234" s="21"/>
    </row>
    <row r="235" spans="2:19" x14ac:dyDescent="0.35">
      <c r="B235" s="29" t="s">
        <v>31</v>
      </c>
      <c r="C235" s="135">
        <v>10</v>
      </c>
      <c r="D235" s="20" t="s">
        <v>25</v>
      </c>
      <c r="E235" s="21"/>
      <c r="F235" s="21"/>
      <c r="G235" s="22"/>
      <c r="H235" s="23"/>
      <c r="I235" s="21"/>
      <c r="J235" s="21"/>
      <c r="K235" s="21"/>
      <c r="L235" s="21"/>
      <c r="M235" s="21"/>
      <c r="N235" s="21"/>
      <c r="O235" s="21"/>
      <c r="P235" s="21"/>
      <c r="Q235" s="21"/>
      <c r="R235" s="21"/>
      <c r="S235" s="21"/>
    </row>
    <row r="236" spans="2:19" x14ac:dyDescent="0.35">
      <c r="B236" s="29" t="s">
        <v>43</v>
      </c>
      <c r="C236" s="135">
        <v>18</v>
      </c>
      <c r="D236" s="20" t="s">
        <v>25</v>
      </c>
      <c r="E236" s="21"/>
      <c r="F236" s="21"/>
      <c r="G236" s="22"/>
      <c r="H236" s="23"/>
      <c r="I236" s="21"/>
      <c r="J236" s="21"/>
      <c r="K236" s="21"/>
      <c r="L236" s="21"/>
      <c r="M236" s="21"/>
      <c r="N236" s="21"/>
      <c r="O236" s="21"/>
      <c r="P236" s="21"/>
      <c r="Q236" s="21"/>
      <c r="R236" s="21"/>
      <c r="S236" s="21"/>
    </row>
    <row r="237" spans="2:19" x14ac:dyDescent="0.35">
      <c r="B237" s="29" t="s">
        <v>32</v>
      </c>
      <c r="C237" s="135">
        <v>1</v>
      </c>
      <c r="E237" s="21"/>
      <c r="F237" s="21"/>
      <c r="G237" s="22"/>
      <c r="H237" s="23"/>
      <c r="I237" s="47"/>
      <c r="J237" s="21"/>
      <c r="K237" s="21"/>
      <c r="L237" s="21"/>
      <c r="M237" s="21"/>
      <c r="N237" s="21"/>
      <c r="O237" s="21"/>
      <c r="P237" s="21"/>
      <c r="Q237" s="21"/>
      <c r="R237" s="21"/>
      <c r="S237" s="21"/>
    </row>
    <row r="238" spans="2:19" x14ac:dyDescent="0.35">
      <c r="B238" s="29" t="s">
        <v>38</v>
      </c>
      <c r="C238" s="135">
        <v>140</v>
      </c>
      <c r="D238" s="20" t="s">
        <v>35</v>
      </c>
      <c r="E238" s="21"/>
      <c r="F238" s="21"/>
      <c r="G238" s="22"/>
      <c r="H238" s="23"/>
      <c r="I238" s="13"/>
      <c r="J238" s="47"/>
      <c r="K238" s="21"/>
      <c r="L238" s="21"/>
      <c r="M238" s="21"/>
      <c r="N238" s="21"/>
      <c r="O238" s="21"/>
      <c r="P238" s="21"/>
      <c r="Q238" s="21"/>
      <c r="R238" s="21"/>
      <c r="S238" s="21"/>
    </row>
    <row r="239" spans="2:19" x14ac:dyDescent="0.35">
      <c r="B239" s="29" t="s">
        <v>34</v>
      </c>
      <c r="C239" s="135">
        <v>25</v>
      </c>
      <c r="D239" s="20" t="s">
        <v>35</v>
      </c>
      <c r="E239" s="21"/>
      <c r="F239" s="21"/>
      <c r="G239" s="22"/>
      <c r="H239" s="23"/>
      <c r="I239" s="13"/>
      <c r="J239" s="47"/>
      <c r="K239" s="21"/>
      <c r="L239" s="21"/>
      <c r="M239" s="21"/>
      <c r="N239" s="21"/>
      <c r="O239" s="21"/>
      <c r="P239" s="21"/>
      <c r="Q239" s="21"/>
      <c r="R239" s="21"/>
      <c r="S239" s="21"/>
    </row>
    <row r="240" spans="2:19" x14ac:dyDescent="0.35">
      <c r="B240" s="29" t="s">
        <v>36</v>
      </c>
      <c r="C240" s="135">
        <v>66</v>
      </c>
      <c r="D240" s="20" t="s">
        <v>25</v>
      </c>
      <c r="E240" s="21"/>
      <c r="F240" s="21"/>
      <c r="G240" s="22"/>
      <c r="H240" s="23"/>
      <c r="I240" s="13"/>
      <c r="J240" s="47"/>
      <c r="K240" s="21"/>
      <c r="L240" s="21"/>
      <c r="M240" s="21"/>
      <c r="N240" s="21"/>
      <c r="O240" s="21"/>
      <c r="P240" s="21"/>
      <c r="Q240" s="21"/>
      <c r="R240" s="21"/>
      <c r="S240" s="21"/>
    </row>
    <row r="241" spans="2:19" ht="18.5" x14ac:dyDescent="0.35">
      <c r="B241" s="29" t="s">
        <v>37</v>
      </c>
      <c r="C241" s="135">
        <v>1.2</v>
      </c>
      <c r="D241" s="20" t="s">
        <v>966</v>
      </c>
      <c r="E241" s="21"/>
      <c r="F241" s="21"/>
      <c r="G241" s="22"/>
      <c r="H241" s="23"/>
      <c r="I241" s="13"/>
      <c r="J241" s="47"/>
      <c r="K241" s="21"/>
      <c r="L241" s="21"/>
      <c r="M241" s="21"/>
      <c r="N241" s="21"/>
      <c r="O241" s="21"/>
      <c r="P241" s="21"/>
      <c r="Q241" s="21"/>
      <c r="R241" s="21"/>
      <c r="S241" s="21"/>
    </row>
    <row r="242" spans="2:19" x14ac:dyDescent="0.35">
      <c r="B242" s="29" t="s">
        <v>794</v>
      </c>
      <c r="C242" s="135">
        <v>3</v>
      </c>
      <c r="D242" s="20" t="s">
        <v>25</v>
      </c>
      <c r="E242" s="21"/>
      <c r="F242" s="21"/>
      <c r="G242" s="14"/>
      <c r="H242" s="13"/>
      <c r="I242" s="13"/>
      <c r="J242" s="21"/>
      <c r="K242" s="21"/>
      <c r="L242" s="21"/>
      <c r="M242" s="21"/>
      <c r="N242" s="21"/>
      <c r="O242" s="21"/>
      <c r="P242" s="21"/>
      <c r="Q242" s="21"/>
      <c r="R242" s="21"/>
      <c r="S242" s="21"/>
    </row>
    <row r="243" spans="2:19" ht="16" thickBot="1" x14ac:dyDescent="0.4">
      <c r="B243" s="29" t="s">
        <v>41</v>
      </c>
      <c r="C243" s="91">
        <v>200</v>
      </c>
      <c r="D243" s="20" t="s">
        <v>39</v>
      </c>
      <c r="E243" s="21"/>
      <c r="F243" s="21"/>
      <c r="G243" s="22"/>
      <c r="H243" s="13"/>
      <c r="I243" s="13"/>
      <c r="J243" s="47"/>
      <c r="K243" s="21"/>
      <c r="L243" s="21"/>
      <c r="M243" s="21"/>
      <c r="N243" s="21"/>
      <c r="O243" s="21"/>
      <c r="P243" s="21"/>
      <c r="Q243" s="21"/>
      <c r="R243" s="21"/>
      <c r="S243" s="21"/>
    </row>
    <row r="244" spans="2:19" x14ac:dyDescent="0.35">
      <c r="C244" s="88" t="s">
        <v>3</v>
      </c>
      <c r="E244" s="21"/>
      <c r="F244" s="21"/>
      <c r="G244" s="22"/>
      <c r="H244" s="13"/>
      <c r="I244" s="13"/>
      <c r="J244" s="47"/>
      <c r="K244" s="21"/>
      <c r="L244" s="21"/>
      <c r="M244" s="21"/>
      <c r="N244" s="21"/>
      <c r="O244" s="21"/>
      <c r="P244" s="21"/>
      <c r="Q244" s="21"/>
      <c r="R244" s="21"/>
      <c r="S244" s="21"/>
    </row>
    <row r="245" spans="2:19" x14ac:dyDescent="0.35">
      <c r="B245" s="4" t="s">
        <v>54</v>
      </c>
      <c r="E245" s="21"/>
      <c r="F245" s="21"/>
      <c r="G245" s="22"/>
      <c r="H245" s="13"/>
      <c r="I245" s="13"/>
      <c r="J245" s="21"/>
      <c r="K245" s="21"/>
      <c r="L245" s="21"/>
      <c r="M245" s="21"/>
      <c r="N245" s="21"/>
      <c r="O245" s="21"/>
      <c r="P245" s="21"/>
      <c r="Q245" s="21"/>
      <c r="R245" s="21"/>
      <c r="S245" s="21"/>
    </row>
    <row r="246" spans="2:19" x14ac:dyDescent="0.35">
      <c r="B246" s="86" t="s">
        <v>40</v>
      </c>
      <c r="C246" s="4" t="s">
        <v>42</v>
      </c>
      <c r="D246" s="2"/>
      <c r="E246" s="47"/>
      <c r="F246" s="21"/>
      <c r="G246" s="22"/>
      <c r="H246" s="13"/>
      <c r="I246" s="13"/>
      <c r="J246" s="21"/>
      <c r="K246" s="21"/>
      <c r="L246" s="21"/>
      <c r="M246" s="21"/>
      <c r="N246" s="21"/>
      <c r="O246" s="21"/>
      <c r="P246" s="21"/>
      <c r="Q246" s="21"/>
      <c r="R246" s="21"/>
      <c r="S246" s="21"/>
    </row>
    <row r="247" spans="2:19" ht="17.5" x14ac:dyDescent="0.35">
      <c r="B247" s="86" t="s">
        <v>4</v>
      </c>
      <c r="C247" s="94">
        <f>C241*C243/C242</f>
        <v>80</v>
      </c>
      <c r="D247" s="2" t="s">
        <v>967</v>
      </c>
      <c r="E247" s="47"/>
      <c r="F247" s="21"/>
      <c r="G247" s="22"/>
      <c r="H247" s="13"/>
      <c r="I247" s="13"/>
      <c r="J247" s="21"/>
      <c r="K247" s="21"/>
      <c r="L247" s="21"/>
      <c r="M247" s="21"/>
      <c r="N247" s="21"/>
      <c r="O247" s="21"/>
      <c r="P247" s="21"/>
      <c r="Q247" s="21"/>
      <c r="R247" s="21"/>
      <c r="S247" s="21"/>
    </row>
    <row r="248" spans="2:19" x14ac:dyDescent="0.35">
      <c r="B248" s="86" t="s">
        <v>44</v>
      </c>
      <c r="C248" s="4" t="s">
        <v>45</v>
      </c>
      <c r="D248" s="2"/>
      <c r="E248" s="47"/>
      <c r="F248" s="21"/>
      <c r="G248" s="22"/>
      <c r="H248" s="13"/>
      <c r="I248" s="13"/>
      <c r="J248" s="21"/>
      <c r="K248" s="21"/>
      <c r="L248" s="21"/>
      <c r="M248" s="21"/>
      <c r="N248" s="21"/>
      <c r="O248" s="21"/>
      <c r="P248" s="21"/>
      <c r="Q248" s="21"/>
      <c r="R248" s="21"/>
      <c r="S248" s="21"/>
    </row>
    <row r="249" spans="2:19" x14ac:dyDescent="0.35">
      <c r="B249" s="86" t="s">
        <v>4</v>
      </c>
      <c r="C249" s="94">
        <f>C236/12</f>
        <v>1.5</v>
      </c>
      <c r="D249" s="2" t="s">
        <v>23</v>
      </c>
      <c r="E249" s="47"/>
      <c r="F249" s="21"/>
      <c r="G249" s="22"/>
      <c r="H249" s="13"/>
      <c r="I249" s="165"/>
      <c r="J249" s="21"/>
      <c r="K249" s="21"/>
      <c r="L249" s="21"/>
      <c r="M249" s="21"/>
      <c r="N249" s="21"/>
      <c r="O249" s="21"/>
      <c r="P249" s="21"/>
      <c r="Q249" s="21"/>
      <c r="R249" s="21"/>
      <c r="S249" s="21"/>
    </row>
    <row r="250" spans="2:19" x14ac:dyDescent="0.35">
      <c r="B250" s="86" t="s">
        <v>46</v>
      </c>
      <c r="C250" s="4" t="s">
        <v>51</v>
      </c>
      <c r="D250" s="2"/>
      <c r="E250" s="47"/>
      <c r="F250" s="21"/>
      <c r="G250" s="22"/>
      <c r="H250" s="13"/>
      <c r="I250" s="21"/>
      <c r="J250" s="21"/>
      <c r="K250" s="21"/>
      <c r="L250" s="21"/>
      <c r="M250" s="21"/>
      <c r="N250" s="21"/>
      <c r="O250" s="21"/>
      <c r="P250" s="21"/>
      <c r="Q250" s="21"/>
      <c r="R250" s="21"/>
      <c r="S250" s="21"/>
    </row>
    <row r="251" spans="2:19" ht="17.5" x14ac:dyDescent="0.35">
      <c r="B251" s="86" t="s">
        <v>4</v>
      </c>
      <c r="C251" s="94">
        <f>C237 * 3.1416 * C235^2 / 4</f>
        <v>78.539999999999992</v>
      </c>
      <c r="D251" s="2" t="s">
        <v>968</v>
      </c>
      <c r="E251" s="47"/>
      <c r="F251" s="21"/>
      <c r="G251" s="22"/>
      <c r="H251" s="13"/>
      <c r="I251" s="21"/>
      <c r="J251" s="21"/>
      <c r="K251" s="21"/>
      <c r="L251" s="21"/>
      <c r="M251" s="21"/>
      <c r="N251" s="21"/>
      <c r="O251" s="21"/>
      <c r="P251" s="21"/>
      <c r="Q251" s="21"/>
      <c r="R251" s="21"/>
      <c r="S251" s="21"/>
    </row>
    <row r="252" spans="2:19" x14ac:dyDescent="0.35">
      <c r="B252" s="86" t="s">
        <v>30</v>
      </c>
      <c r="C252" s="4" t="s">
        <v>59</v>
      </c>
      <c r="D252" s="2"/>
      <c r="E252" s="47"/>
      <c r="F252" s="21"/>
      <c r="G252" s="22"/>
      <c r="H252" s="13"/>
      <c r="I252" s="21"/>
      <c r="J252" s="21"/>
      <c r="K252" s="21"/>
      <c r="L252" s="21"/>
      <c r="M252" s="21"/>
      <c r="N252" s="21"/>
      <c r="O252" s="21"/>
      <c r="P252" s="21"/>
      <c r="Q252" s="21"/>
      <c r="R252" s="21"/>
      <c r="S252" s="21"/>
    </row>
    <row r="253" spans="2:19" x14ac:dyDescent="0.35">
      <c r="B253" s="86" t="s">
        <v>4</v>
      </c>
      <c r="C253" s="93">
        <f>2 * C234 * C232 / C233</f>
        <v>100</v>
      </c>
      <c r="D253" s="2" t="s">
        <v>48</v>
      </c>
      <c r="E253" s="47"/>
      <c r="F253" s="21"/>
      <c r="G253" s="22"/>
      <c r="H253" s="13"/>
      <c r="I253" s="21"/>
      <c r="J253" s="21"/>
      <c r="K253" s="21"/>
      <c r="L253" s="21"/>
      <c r="M253" s="21"/>
      <c r="N253" s="21"/>
      <c r="O253" s="21"/>
      <c r="P253" s="21"/>
      <c r="Q253" s="21"/>
      <c r="R253" s="21"/>
      <c r="S253" s="21"/>
    </row>
    <row r="254" spans="2:19" x14ac:dyDescent="0.35">
      <c r="B254" s="86" t="s">
        <v>49</v>
      </c>
      <c r="C254" s="124" t="s">
        <v>50</v>
      </c>
      <c r="D254" s="122"/>
      <c r="E254" s="47"/>
      <c r="F254" s="21"/>
      <c r="G254" s="22"/>
      <c r="H254" s="13"/>
      <c r="I254" s="21"/>
      <c r="J254" s="21"/>
      <c r="K254" s="21"/>
      <c r="L254" s="21"/>
      <c r="M254" s="21"/>
      <c r="N254" s="21"/>
      <c r="O254" s="21"/>
      <c r="P254" s="21"/>
      <c r="Q254" s="21"/>
      <c r="R254" s="21"/>
      <c r="S254" s="21"/>
    </row>
    <row r="255" spans="2:19" x14ac:dyDescent="0.35">
      <c r="B255" s="86" t="s">
        <v>4</v>
      </c>
      <c r="C255" s="232">
        <f>C247*C249*C251*C253/33000</f>
        <v>28.559999999999995</v>
      </c>
      <c r="D255" s="122" t="s">
        <v>19</v>
      </c>
      <c r="E255" s="47"/>
      <c r="F255" s="21"/>
      <c r="G255" s="22"/>
      <c r="H255" s="23"/>
      <c r="I255" s="13"/>
      <c r="J255" s="21"/>
      <c r="K255" s="21"/>
      <c r="L255" s="21"/>
      <c r="M255" s="21"/>
      <c r="N255" s="21"/>
      <c r="O255" s="21"/>
      <c r="P255" s="21"/>
      <c r="Q255" s="21"/>
      <c r="R255" s="21"/>
      <c r="S255" s="21"/>
    </row>
    <row r="256" spans="2:19" x14ac:dyDescent="0.35">
      <c r="B256" s="4" t="s">
        <v>55</v>
      </c>
      <c r="C256" s="151"/>
      <c r="D256" s="39"/>
      <c r="E256" s="21"/>
      <c r="F256" s="21"/>
      <c r="G256" s="22"/>
      <c r="H256" s="23"/>
      <c r="I256" s="21"/>
      <c r="J256" s="21"/>
      <c r="K256" s="21"/>
      <c r="L256" s="21"/>
      <c r="M256" s="21"/>
      <c r="N256" s="21"/>
      <c r="O256" s="21"/>
      <c r="P256" s="21"/>
      <c r="Q256" s="21"/>
      <c r="R256" s="21"/>
      <c r="S256" s="21"/>
    </row>
    <row r="257" spans="2:19" x14ac:dyDescent="0.35">
      <c r="B257" s="86" t="s">
        <v>52</v>
      </c>
      <c r="C257" s="124" t="s">
        <v>53</v>
      </c>
      <c r="D257" s="122"/>
      <c r="E257" s="21"/>
      <c r="F257" s="21"/>
      <c r="G257" s="22"/>
      <c r="H257" s="23"/>
      <c r="I257" s="21"/>
      <c r="J257" s="21"/>
      <c r="K257" s="21"/>
      <c r="L257" s="21"/>
      <c r="M257" s="21"/>
      <c r="N257" s="21"/>
      <c r="O257" s="21"/>
      <c r="P257" s="21"/>
      <c r="Q257" s="21"/>
      <c r="R257" s="21"/>
      <c r="S257" s="21"/>
    </row>
    <row r="258" spans="2:19" x14ac:dyDescent="0.35">
      <c r="B258" s="86" t="s">
        <v>4</v>
      </c>
      <c r="C258" s="124">
        <f>C238-C239</f>
        <v>115</v>
      </c>
      <c r="D258" s="122" t="s">
        <v>26</v>
      </c>
      <c r="E258" s="21"/>
      <c r="F258" s="21"/>
      <c r="G258" s="22"/>
      <c r="H258" s="23"/>
      <c r="I258" s="21"/>
      <c r="J258" s="21"/>
      <c r="K258" s="21"/>
      <c r="L258" s="21"/>
      <c r="M258" s="21"/>
      <c r="N258" s="21"/>
      <c r="O258" s="21"/>
      <c r="P258" s="21"/>
      <c r="Q258" s="21"/>
      <c r="R258" s="21"/>
      <c r="S258" s="21"/>
    </row>
    <row r="259" spans="2:19" x14ac:dyDescent="0.35">
      <c r="B259" s="86" t="s">
        <v>56</v>
      </c>
      <c r="C259" s="124" t="s">
        <v>61</v>
      </c>
      <c r="D259" s="122"/>
      <c r="E259" s="21"/>
      <c r="F259" s="21"/>
      <c r="G259" s="22"/>
      <c r="H259" s="23"/>
      <c r="I259" s="21"/>
      <c r="J259" s="21"/>
      <c r="K259" s="21"/>
      <c r="L259" s="21"/>
      <c r="M259" s="21"/>
      <c r="N259" s="21"/>
      <c r="O259" s="21"/>
      <c r="P259" s="21"/>
      <c r="Q259" s="21"/>
      <c r="R259" s="21"/>
      <c r="S259" s="21"/>
    </row>
    <row r="260" spans="2:19" x14ac:dyDescent="0.35">
      <c r="B260" s="86" t="s">
        <v>4</v>
      </c>
      <c r="C260" s="232">
        <f>2*3.1416*(C240/12)*C258*C232/ 33000</f>
        <v>24.085600000000003</v>
      </c>
      <c r="D260" s="122" t="s">
        <v>57</v>
      </c>
      <c r="E260" s="21"/>
      <c r="F260" s="21"/>
      <c r="G260" s="22"/>
      <c r="H260" s="13"/>
      <c r="I260" s="21"/>
      <c r="J260" s="21"/>
      <c r="K260" s="21"/>
      <c r="L260" s="21"/>
      <c r="M260" s="21"/>
      <c r="N260" s="21"/>
      <c r="O260" s="21"/>
      <c r="P260" s="21"/>
      <c r="Q260" s="21"/>
      <c r="R260" s="21"/>
      <c r="S260" s="21"/>
    </row>
    <row r="261" spans="2:19" x14ac:dyDescent="0.35">
      <c r="B261" s="4" t="s">
        <v>62</v>
      </c>
      <c r="C261" s="151"/>
      <c r="D261" s="39"/>
      <c r="E261" s="21"/>
      <c r="F261" s="21"/>
      <c r="G261" s="22"/>
      <c r="H261" s="23"/>
      <c r="I261" s="21"/>
      <c r="J261" s="21"/>
      <c r="K261" s="21"/>
      <c r="L261" s="21"/>
      <c r="M261" s="21"/>
      <c r="N261" s="21"/>
      <c r="O261" s="21"/>
      <c r="P261" s="21"/>
      <c r="Q261" s="21"/>
      <c r="R261" s="21"/>
      <c r="S261" s="21"/>
    </row>
    <row r="262" spans="2:19" ht="17.5" x14ac:dyDescent="0.45">
      <c r="B262" s="86" t="s">
        <v>969</v>
      </c>
      <c r="C262" s="124" t="s">
        <v>63</v>
      </c>
      <c r="D262" s="39"/>
      <c r="E262" s="21"/>
      <c r="F262" s="21"/>
      <c r="G262" s="22"/>
      <c r="H262" s="23"/>
      <c r="I262" s="21"/>
      <c r="J262" s="21"/>
      <c r="K262" s="21"/>
      <c r="L262" s="21"/>
      <c r="M262" s="21"/>
      <c r="N262" s="21"/>
      <c r="O262" s="21"/>
      <c r="P262" s="21"/>
      <c r="Q262" s="21"/>
      <c r="R262" s="21"/>
      <c r="S262" s="21"/>
    </row>
    <row r="263" spans="2:19" x14ac:dyDescent="0.35">
      <c r="B263" s="86"/>
      <c r="C263" s="233">
        <f>C260/C255</f>
        <v>0.8433333333333336</v>
      </c>
      <c r="D263" s="39"/>
      <c r="E263" s="21"/>
      <c r="F263" s="21"/>
      <c r="G263" s="22"/>
      <c r="H263" s="23"/>
      <c r="I263" s="21"/>
      <c r="J263" s="21"/>
      <c r="K263" s="21"/>
      <c r="L263" s="21"/>
      <c r="M263" s="21"/>
      <c r="N263" s="21"/>
      <c r="O263" s="21"/>
      <c r="P263" s="21"/>
      <c r="Q263" s="21"/>
      <c r="R263" s="21"/>
      <c r="S263" s="21"/>
    </row>
    <row r="264" spans="2:19" x14ac:dyDescent="0.35">
      <c r="C264" s="151"/>
      <c r="D264" s="39"/>
      <c r="E264" s="21"/>
      <c r="F264" s="21"/>
      <c r="G264" s="22"/>
      <c r="H264" s="23"/>
      <c r="I264" s="21"/>
      <c r="J264" s="21"/>
      <c r="K264" s="21"/>
      <c r="L264" s="21"/>
      <c r="M264" s="21"/>
      <c r="N264" s="21"/>
      <c r="O264" s="21"/>
      <c r="P264" s="21"/>
      <c r="Q264" s="21"/>
      <c r="R264" s="21"/>
      <c r="S264" s="21"/>
    </row>
    <row r="265" spans="2:19" ht="18" x14ac:dyDescent="0.4">
      <c r="B265" s="44" t="s">
        <v>65</v>
      </c>
      <c r="E265" s="21"/>
      <c r="F265" s="21"/>
      <c r="G265" s="22"/>
      <c r="H265" s="23"/>
      <c r="I265" s="21"/>
      <c r="J265" s="21"/>
      <c r="K265" s="21"/>
      <c r="L265" s="21"/>
      <c r="M265" s="21"/>
      <c r="N265" s="21"/>
      <c r="O265" s="21"/>
      <c r="P265" s="21"/>
      <c r="Q265" s="21"/>
      <c r="R265" s="21"/>
      <c r="S265" s="21"/>
    </row>
    <row r="266" spans="2:19" ht="16" thickBot="1" x14ac:dyDescent="0.4">
      <c r="C266" s="88" t="s">
        <v>2</v>
      </c>
      <c r="E266" s="21"/>
      <c r="F266" s="21"/>
      <c r="G266" s="22"/>
      <c r="H266" s="23"/>
      <c r="I266" s="21"/>
      <c r="J266" s="21"/>
      <c r="K266" s="21"/>
      <c r="L266" s="21"/>
      <c r="M266" s="21"/>
      <c r="N266" s="21"/>
      <c r="O266" s="21"/>
      <c r="P266" s="21"/>
      <c r="Q266" s="21"/>
      <c r="R266" s="21"/>
      <c r="S266" s="21"/>
    </row>
    <row r="267" spans="2:19" x14ac:dyDescent="0.35">
      <c r="B267" s="29" t="s">
        <v>60</v>
      </c>
      <c r="C267" s="89">
        <v>200</v>
      </c>
      <c r="D267" s="20" t="s">
        <v>33</v>
      </c>
      <c r="E267" s="21"/>
      <c r="F267" s="21"/>
      <c r="G267" s="22"/>
      <c r="H267" s="23"/>
      <c r="I267" s="21"/>
      <c r="J267" s="21"/>
      <c r="K267" s="21"/>
      <c r="L267" s="21"/>
      <c r="M267" s="21"/>
      <c r="N267" s="21"/>
      <c r="O267" s="21"/>
      <c r="P267" s="21"/>
      <c r="Q267" s="21"/>
      <c r="R267" s="21"/>
      <c r="S267" s="21"/>
    </row>
    <row r="268" spans="2:19" x14ac:dyDescent="0.35">
      <c r="B268" s="29" t="s">
        <v>58</v>
      </c>
      <c r="C268" s="135">
        <v>4</v>
      </c>
      <c r="D268" s="20" t="s">
        <v>16</v>
      </c>
      <c r="E268" s="21"/>
      <c r="F268" s="21"/>
      <c r="G268" s="22"/>
      <c r="H268" s="23"/>
      <c r="I268" s="21"/>
      <c r="J268" s="21"/>
      <c r="K268" s="21"/>
      <c r="L268" s="21"/>
      <c r="M268" s="21"/>
      <c r="N268" s="21"/>
      <c r="O268" s="21"/>
      <c r="P268" s="21"/>
      <c r="Q268" s="21"/>
      <c r="R268" s="21"/>
      <c r="S268" s="21"/>
    </row>
    <row r="269" spans="2:19" x14ac:dyDescent="0.35">
      <c r="B269" s="29" t="s">
        <v>47</v>
      </c>
      <c r="C269" s="135">
        <v>1</v>
      </c>
      <c r="D269" s="20" t="s">
        <v>16</v>
      </c>
      <c r="E269" s="21"/>
      <c r="F269" s="21"/>
      <c r="G269" s="22"/>
      <c r="H269" s="23"/>
      <c r="I269" s="21"/>
      <c r="J269" s="21"/>
      <c r="K269" s="21"/>
      <c r="L269" s="21"/>
      <c r="M269" s="21"/>
      <c r="N269" s="21"/>
      <c r="O269" s="21"/>
      <c r="P269" s="21"/>
      <c r="Q269" s="21"/>
      <c r="R269" s="21"/>
      <c r="S269" s="21"/>
    </row>
    <row r="270" spans="2:19" x14ac:dyDescent="0.35">
      <c r="B270" s="29" t="s">
        <v>31</v>
      </c>
      <c r="C270" s="135">
        <v>25.4</v>
      </c>
      <c r="D270" s="20" t="s">
        <v>66</v>
      </c>
      <c r="E270" s="21"/>
      <c r="F270" s="21"/>
      <c r="G270" s="22"/>
      <c r="H270" s="23"/>
      <c r="I270" s="21"/>
      <c r="J270" s="21"/>
      <c r="K270" s="21"/>
      <c r="L270" s="21"/>
      <c r="M270" s="21"/>
      <c r="N270" s="21"/>
      <c r="O270" s="21"/>
      <c r="P270" s="21"/>
      <c r="Q270" s="21"/>
      <c r="R270" s="21"/>
      <c r="S270" s="21"/>
    </row>
    <row r="271" spans="2:19" x14ac:dyDescent="0.35">
      <c r="B271" s="29" t="s">
        <v>43</v>
      </c>
      <c r="C271" s="135">
        <v>45.7</v>
      </c>
      <c r="D271" s="20" t="s">
        <v>66</v>
      </c>
      <c r="E271" s="21"/>
      <c r="F271" s="21"/>
      <c r="G271" s="22"/>
      <c r="H271" s="23"/>
      <c r="I271" s="21"/>
      <c r="J271" s="21"/>
      <c r="K271" s="21"/>
      <c r="L271" s="21"/>
      <c r="M271" s="21"/>
      <c r="N271" s="21"/>
      <c r="O271" s="21"/>
      <c r="P271" s="21"/>
      <c r="Q271" s="21"/>
      <c r="R271" s="21"/>
      <c r="S271" s="21"/>
    </row>
    <row r="272" spans="2:19" x14ac:dyDescent="0.35">
      <c r="B272" s="29" t="s">
        <v>32</v>
      </c>
      <c r="C272" s="135">
        <v>1</v>
      </c>
      <c r="E272" s="21"/>
      <c r="F272" s="21"/>
      <c r="G272" s="22"/>
      <c r="H272" s="23"/>
      <c r="I272" s="21"/>
      <c r="J272" s="21"/>
      <c r="K272" s="21"/>
      <c r="L272" s="21"/>
      <c r="M272" s="21"/>
      <c r="N272" s="21"/>
      <c r="O272" s="21"/>
      <c r="P272" s="21"/>
      <c r="Q272" s="21"/>
      <c r="R272" s="21"/>
      <c r="S272" s="21"/>
    </row>
    <row r="273" spans="2:19" x14ac:dyDescent="0.35">
      <c r="B273" s="29" t="s">
        <v>38</v>
      </c>
      <c r="C273" s="135">
        <v>620</v>
      </c>
      <c r="D273" s="20" t="s">
        <v>27</v>
      </c>
      <c r="E273" s="21"/>
      <c r="F273" s="21"/>
      <c r="G273" s="22"/>
      <c r="H273" s="23"/>
      <c r="I273" s="21"/>
      <c r="J273" s="21"/>
      <c r="K273" s="21"/>
      <c r="L273" s="21"/>
      <c r="M273" s="21"/>
      <c r="N273" s="21"/>
      <c r="O273" s="21"/>
      <c r="P273" s="21"/>
      <c r="Q273" s="21"/>
      <c r="R273" s="21"/>
      <c r="S273" s="21"/>
    </row>
    <row r="274" spans="2:19" x14ac:dyDescent="0.35">
      <c r="B274" s="29" t="s">
        <v>34</v>
      </c>
      <c r="C274" s="135">
        <v>110</v>
      </c>
      <c r="D274" s="20" t="s">
        <v>27</v>
      </c>
      <c r="E274" s="21"/>
      <c r="F274" s="21"/>
      <c r="G274" s="22"/>
      <c r="H274" s="23"/>
      <c r="I274" s="21"/>
      <c r="J274" s="21"/>
      <c r="K274" s="21"/>
      <c r="L274" s="21"/>
      <c r="M274" s="21"/>
      <c r="N274" s="21"/>
      <c r="O274" s="21"/>
      <c r="P274" s="21"/>
      <c r="Q274" s="21"/>
      <c r="R274" s="21"/>
      <c r="S274" s="21"/>
    </row>
    <row r="275" spans="2:19" x14ac:dyDescent="0.35">
      <c r="B275" s="29" t="s">
        <v>36</v>
      </c>
      <c r="C275" s="135">
        <v>1.7</v>
      </c>
      <c r="D275" s="20" t="s">
        <v>795</v>
      </c>
      <c r="E275" s="21"/>
      <c r="F275" s="21"/>
      <c r="G275" s="22"/>
      <c r="H275" s="23"/>
      <c r="I275" s="21"/>
      <c r="J275" s="21"/>
      <c r="K275" s="21"/>
      <c r="L275" s="21"/>
      <c r="M275" s="21"/>
      <c r="N275" s="21"/>
      <c r="O275" s="21"/>
      <c r="P275" s="21"/>
      <c r="Q275" s="21"/>
      <c r="R275" s="21"/>
      <c r="S275" s="21"/>
    </row>
    <row r="276" spans="2:19" ht="18.5" x14ac:dyDescent="0.35">
      <c r="B276" s="29" t="s">
        <v>37</v>
      </c>
      <c r="C276" s="135">
        <v>7.7</v>
      </c>
      <c r="D276" s="20" t="s">
        <v>970</v>
      </c>
      <c r="E276" s="21"/>
      <c r="F276" s="21"/>
      <c r="G276" s="22"/>
      <c r="H276" s="23"/>
      <c r="I276" s="21"/>
      <c r="J276" s="21"/>
      <c r="K276" s="21"/>
      <c r="L276" s="21"/>
      <c r="M276" s="21"/>
      <c r="N276" s="21"/>
      <c r="O276" s="21"/>
      <c r="P276" s="21"/>
      <c r="Q276" s="21"/>
      <c r="R276" s="21"/>
      <c r="S276" s="21"/>
    </row>
    <row r="277" spans="2:19" x14ac:dyDescent="0.35">
      <c r="B277" s="29" t="s">
        <v>794</v>
      </c>
      <c r="C277" s="135">
        <v>7.6</v>
      </c>
      <c r="D277" s="20" t="s">
        <v>66</v>
      </c>
      <c r="E277" s="21"/>
      <c r="F277" s="21"/>
      <c r="G277" s="22"/>
      <c r="H277" s="23"/>
      <c r="I277" s="21"/>
      <c r="J277" s="21"/>
      <c r="K277" s="21"/>
      <c r="L277" s="21"/>
      <c r="M277" s="21"/>
      <c r="N277" s="21"/>
      <c r="O277" s="21"/>
      <c r="P277" s="21"/>
      <c r="Q277" s="21"/>
      <c r="R277" s="21"/>
      <c r="S277" s="21"/>
    </row>
    <row r="278" spans="2:19" ht="16" thickBot="1" x14ac:dyDescent="0.4">
      <c r="B278" s="29" t="s">
        <v>41</v>
      </c>
      <c r="C278" s="91">
        <v>540</v>
      </c>
      <c r="D278" s="20" t="s">
        <v>28</v>
      </c>
      <c r="E278" s="21"/>
      <c r="F278" s="21"/>
      <c r="G278" s="22"/>
      <c r="H278" s="23"/>
      <c r="I278" s="21"/>
      <c r="J278" s="21"/>
      <c r="K278" s="21"/>
      <c r="L278" s="21"/>
      <c r="M278" s="21"/>
      <c r="N278" s="21"/>
      <c r="O278" s="21"/>
      <c r="P278" s="21"/>
      <c r="Q278" s="21"/>
      <c r="R278" s="21"/>
      <c r="S278" s="21"/>
    </row>
    <row r="279" spans="2:19" x14ac:dyDescent="0.35">
      <c r="C279" s="88" t="s">
        <v>3</v>
      </c>
      <c r="E279" s="21"/>
      <c r="F279" s="21"/>
      <c r="G279" s="22"/>
      <c r="H279" s="23"/>
      <c r="I279" s="21"/>
      <c r="J279" s="21"/>
      <c r="K279" s="21"/>
      <c r="L279" s="21"/>
      <c r="M279" s="21"/>
      <c r="N279" s="21"/>
      <c r="O279" s="21"/>
      <c r="P279" s="21"/>
      <c r="Q279" s="21"/>
      <c r="R279" s="21"/>
      <c r="S279" s="21"/>
    </row>
    <row r="280" spans="2:19" ht="18" x14ac:dyDescent="0.4">
      <c r="B280" s="44" t="s">
        <v>54</v>
      </c>
      <c r="E280" s="21"/>
      <c r="F280" s="21"/>
      <c r="G280" s="22"/>
      <c r="H280" s="23"/>
      <c r="I280" s="21"/>
      <c r="J280" s="21"/>
      <c r="K280" s="21"/>
      <c r="L280" s="21"/>
      <c r="M280" s="21"/>
      <c r="N280" s="21"/>
      <c r="O280" s="21"/>
      <c r="P280" s="21"/>
      <c r="Q280" s="21"/>
      <c r="R280" s="21"/>
      <c r="S280" s="21"/>
    </row>
    <row r="281" spans="2:19" x14ac:dyDescent="0.35">
      <c r="B281" s="86" t="s">
        <v>40</v>
      </c>
      <c r="C281" s="4" t="s">
        <v>42</v>
      </c>
      <c r="D281" s="2"/>
      <c r="E281" s="47"/>
      <c r="F281" s="21"/>
      <c r="G281" s="22"/>
      <c r="H281" s="23"/>
      <c r="I281" s="21"/>
      <c r="J281" s="21"/>
      <c r="K281" s="21"/>
      <c r="L281" s="21"/>
      <c r="M281" s="21"/>
      <c r="N281" s="21"/>
      <c r="O281" s="21"/>
      <c r="P281" s="21"/>
      <c r="Q281" s="21"/>
      <c r="R281" s="21"/>
      <c r="S281" s="21"/>
    </row>
    <row r="282" spans="2:19" x14ac:dyDescent="0.35">
      <c r="B282" s="86" t="s">
        <v>4</v>
      </c>
      <c r="C282" s="94">
        <f>C276*C278/C277</f>
        <v>547.1052631578948</v>
      </c>
      <c r="D282" s="2" t="s">
        <v>28</v>
      </c>
      <c r="E282" s="47"/>
      <c r="F282" s="21"/>
      <c r="G282" s="22"/>
      <c r="H282" s="23"/>
      <c r="I282" s="21"/>
      <c r="J282" s="21"/>
      <c r="K282" s="21"/>
      <c r="L282" s="21"/>
      <c r="M282" s="21"/>
      <c r="N282" s="21"/>
      <c r="O282" s="21"/>
      <c r="P282" s="21"/>
      <c r="Q282" s="21"/>
      <c r="R282" s="21"/>
      <c r="S282" s="21"/>
    </row>
    <row r="283" spans="2:19" x14ac:dyDescent="0.35">
      <c r="B283" s="86" t="s">
        <v>44</v>
      </c>
      <c r="C283" s="4" t="s">
        <v>67</v>
      </c>
      <c r="D283" s="2"/>
      <c r="E283" s="47"/>
      <c r="F283" s="21"/>
      <c r="G283" s="22"/>
      <c r="H283" s="23"/>
      <c r="I283" s="21"/>
      <c r="J283" s="21"/>
      <c r="K283" s="21"/>
      <c r="L283" s="21"/>
      <c r="M283" s="21"/>
      <c r="N283" s="21"/>
      <c r="O283" s="21"/>
      <c r="P283" s="21"/>
      <c r="Q283" s="21"/>
      <c r="R283" s="21"/>
      <c r="S283" s="21"/>
    </row>
    <row r="284" spans="2:19" x14ac:dyDescent="0.35">
      <c r="B284" s="86" t="s">
        <v>4</v>
      </c>
      <c r="C284" s="166">
        <f>C271/100</f>
        <v>0.45700000000000002</v>
      </c>
      <c r="D284" s="2" t="s">
        <v>795</v>
      </c>
      <c r="E284" s="47"/>
      <c r="F284" s="21"/>
      <c r="G284" s="22"/>
      <c r="H284" s="23"/>
      <c r="I284" s="21"/>
      <c r="J284" s="21"/>
      <c r="K284" s="21"/>
      <c r="L284" s="21"/>
      <c r="M284" s="21"/>
      <c r="N284" s="21"/>
      <c r="O284" s="21"/>
      <c r="P284" s="21"/>
      <c r="Q284" s="21"/>
      <c r="R284" s="21"/>
      <c r="S284" s="21"/>
    </row>
    <row r="285" spans="2:19" x14ac:dyDescent="0.35">
      <c r="B285" s="86" t="s">
        <v>46</v>
      </c>
      <c r="C285" s="4" t="s">
        <v>51</v>
      </c>
      <c r="D285" s="2"/>
      <c r="E285" s="47"/>
      <c r="F285" s="21"/>
      <c r="G285" s="22"/>
      <c r="H285" s="23"/>
      <c r="I285" s="21"/>
      <c r="J285" s="21"/>
      <c r="K285" s="21"/>
      <c r="L285" s="21"/>
      <c r="M285" s="21"/>
      <c r="N285" s="21"/>
      <c r="O285" s="21"/>
      <c r="P285" s="21"/>
      <c r="Q285" s="21"/>
      <c r="R285" s="21"/>
      <c r="S285" s="21"/>
    </row>
    <row r="286" spans="2:19" ht="17.5" x14ac:dyDescent="0.35">
      <c r="B286" s="86" t="s">
        <v>4</v>
      </c>
      <c r="C286" s="94">
        <f>C272 * 3.1416 * C270^2 / 4</f>
        <v>506.70866399999994</v>
      </c>
      <c r="D286" s="2" t="s">
        <v>971</v>
      </c>
      <c r="E286" s="47"/>
      <c r="F286" s="21"/>
      <c r="G286" s="22"/>
      <c r="H286" s="23"/>
      <c r="I286" s="21"/>
      <c r="J286" s="21"/>
      <c r="K286" s="21"/>
      <c r="L286" s="21"/>
      <c r="M286" s="21"/>
      <c r="N286" s="21"/>
      <c r="O286" s="21"/>
      <c r="P286" s="21"/>
      <c r="Q286" s="21"/>
      <c r="R286" s="21"/>
      <c r="S286" s="21"/>
    </row>
    <row r="287" spans="2:19" ht="17.5" x14ac:dyDescent="0.35">
      <c r="B287" s="86" t="s">
        <v>4</v>
      </c>
      <c r="C287" s="96">
        <f>C286/10000</f>
        <v>5.0670866399999993E-2</v>
      </c>
      <c r="D287" s="2" t="s">
        <v>850</v>
      </c>
      <c r="E287" s="47"/>
      <c r="F287" s="21"/>
      <c r="G287" s="22"/>
      <c r="H287" s="23"/>
      <c r="I287" s="21"/>
      <c r="J287" s="21"/>
      <c r="K287" s="21"/>
      <c r="L287" s="21"/>
      <c r="M287" s="21"/>
      <c r="N287" s="21"/>
      <c r="O287" s="21"/>
      <c r="P287" s="21"/>
      <c r="Q287" s="21"/>
      <c r="R287" s="21"/>
      <c r="S287" s="21"/>
    </row>
    <row r="288" spans="2:19" x14ac:dyDescent="0.35">
      <c r="B288" s="86" t="s">
        <v>30</v>
      </c>
      <c r="C288" s="4" t="s">
        <v>59</v>
      </c>
      <c r="D288" s="2"/>
      <c r="E288" s="47"/>
      <c r="F288" s="21"/>
      <c r="G288" s="22"/>
      <c r="H288" s="23"/>
      <c r="I288" s="21"/>
      <c r="J288" s="21"/>
      <c r="K288" s="21"/>
      <c r="L288" s="21"/>
      <c r="M288" s="21"/>
      <c r="N288" s="21"/>
      <c r="O288" s="21"/>
      <c r="P288" s="21"/>
      <c r="Q288" s="21"/>
      <c r="R288" s="21"/>
      <c r="S288" s="21"/>
    </row>
    <row r="289" spans="2:19" x14ac:dyDescent="0.35">
      <c r="B289" s="86" t="s">
        <v>4</v>
      </c>
      <c r="C289" s="93">
        <f>2 * C269 * C267 / C268</f>
        <v>100</v>
      </c>
      <c r="D289" s="2" t="s">
        <v>48</v>
      </c>
      <c r="E289" s="47"/>
      <c r="F289" s="21"/>
      <c r="G289" s="22"/>
      <c r="H289" s="23"/>
      <c r="I289" s="21"/>
      <c r="J289" s="21"/>
      <c r="K289" s="21"/>
      <c r="L289" s="21"/>
      <c r="M289" s="21"/>
      <c r="N289" s="21"/>
      <c r="O289" s="21"/>
      <c r="P289" s="21"/>
      <c r="Q289" s="21"/>
      <c r="R289" s="21"/>
      <c r="S289" s="21"/>
    </row>
    <row r="290" spans="2:19" x14ac:dyDescent="0.35">
      <c r="B290" s="86" t="s">
        <v>49</v>
      </c>
      <c r="C290" s="4" t="s">
        <v>50</v>
      </c>
      <c r="D290" s="2"/>
      <c r="E290" s="47"/>
      <c r="F290" s="21"/>
      <c r="G290" s="22"/>
      <c r="H290" s="23"/>
      <c r="I290" s="21"/>
      <c r="J290" s="21"/>
      <c r="K290" s="21"/>
      <c r="L290" s="21"/>
      <c r="M290" s="21"/>
      <c r="N290" s="21"/>
      <c r="O290" s="21"/>
      <c r="P290" s="21"/>
      <c r="Q290" s="21"/>
      <c r="R290" s="21"/>
      <c r="S290" s="21"/>
    </row>
    <row r="291" spans="2:19" x14ac:dyDescent="0.35">
      <c r="B291" s="86" t="s">
        <v>4</v>
      </c>
      <c r="C291" s="232">
        <f>C282*1000*C284*C287*C289/(60*1000)</f>
        <v>21.115150078613688</v>
      </c>
      <c r="D291" s="122" t="s">
        <v>68</v>
      </c>
      <c r="E291" s="47"/>
      <c r="F291" s="21"/>
      <c r="G291" s="22"/>
      <c r="H291" s="23"/>
      <c r="I291" s="21"/>
      <c r="J291" s="21"/>
      <c r="K291" s="21"/>
      <c r="L291" s="21"/>
      <c r="M291" s="21"/>
      <c r="N291" s="21"/>
      <c r="O291" s="21"/>
      <c r="P291" s="21"/>
      <c r="Q291" s="21"/>
      <c r="R291" s="21"/>
      <c r="S291" s="21"/>
    </row>
    <row r="292" spans="2:19" x14ac:dyDescent="0.35">
      <c r="B292" s="4" t="s">
        <v>55</v>
      </c>
      <c r="E292" s="21"/>
      <c r="F292" s="21"/>
      <c r="G292" s="22"/>
      <c r="H292" s="23"/>
      <c r="I292" s="21"/>
      <c r="J292" s="21"/>
      <c r="K292" s="21"/>
      <c r="L292" s="21"/>
      <c r="M292" s="21"/>
      <c r="N292" s="21"/>
      <c r="O292" s="21"/>
      <c r="P292" s="21"/>
      <c r="Q292" s="21"/>
      <c r="R292" s="21"/>
      <c r="S292" s="21"/>
    </row>
    <row r="293" spans="2:19" x14ac:dyDescent="0.35">
      <c r="B293" s="86" t="s">
        <v>52</v>
      </c>
      <c r="C293" s="4" t="s">
        <v>53</v>
      </c>
      <c r="D293" s="2"/>
      <c r="E293" s="21"/>
      <c r="F293" s="21"/>
      <c r="G293" s="22"/>
      <c r="H293" s="23"/>
      <c r="I293" s="21"/>
      <c r="J293" s="21"/>
      <c r="K293" s="21"/>
      <c r="L293" s="21"/>
      <c r="M293" s="21"/>
      <c r="N293" s="21"/>
      <c r="O293" s="21"/>
      <c r="P293" s="21"/>
      <c r="Q293" s="21"/>
      <c r="R293" s="21"/>
      <c r="S293" s="21"/>
    </row>
    <row r="294" spans="2:19" x14ac:dyDescent="0.35">
      <c r="B294" s="86" t="s">
        <v>4</v>
      </c>
      <c r="C294" s="94">
        <f>C273-C274</f>
        <v>510</v>
      </c>
      <c r="D294" s="2" t="s">
        <v>27</v>
      </c>
      <c r="E294" s="21"/>
      <c r="F294" s="21"/>
      <c r="G294" s="22"/>
      <c r="H294" s="23"/>
      <c r="I294" s="21"/>
      <c r="J294" s="21"/>
      <c r="K294" s="21"/>
      <c r="L294" s="21"/>
      <c r="M294" s="21"/>
      <c r="N294" s="21"/>
      <c r="O294" s="21"/>
      <c r="P294" s="21"/>
      <c r="Q294" s="21"/>
      <c r="R294" s="21"/>
      <c r="S294" s="21"/>
    </row>
    <row r="295" spans="2:19" x14ac:dyDescent="0.35">
      <c r="B295" s="86" t="s">
        <v>56</v>
      </c>
      <c r="C295" s="4" t="s">
        <v>69</v>
      </c>
      <c r="D295" s="2"/>
      <c r="E295" s="21"/>
      <c r="F295" s="21"/>
      <c r="G295" s="22"/>
      <c r="H295" s="23"/>
      <c r="I295" s="21"/>
      <c r="J295" s="21"/>
      <c r="K295" s="21"/>
      <c r="L295" s="21"/>
      <c r="M295" s="21"/>
      <c r="N295" s="21"/>
      <c r="O295" s="21"/>
      <c r="P295" s="21"/>
      <c r="Q295" s="21"/>
      <c r="R295" s="21"/>
      <c r="S295" s="21"/>
    </row>
    <row r="296" spans="2:19" x14ac:dyDescent="0.35">
      <c r="B296" s="86" t="s">
        <v>4</v>
      </c>
      <c r="C296" s="94">
        <f>2*3.1416*C275*C294*C267 / (60 * 1000)</f>
        <v>18.158448000000003</v>
      </c>
      <c r="D296" s="122" t="s">
        <v>68</v>
      </c>
      <c r="E296" s="21"/>
      <c r="F296" s="21"/>
      <c r="G296" s="22"/>
      <c r="H296" s="23"/>
      <c r="I296" s="21"/>
      <c r="J296" s="21"/>
      <c r="K296" s="21"/>
      <c r="L296" s="21"/>
      <c r="M296" s="21"/>
      <c r="N296" s="21"/>
      <c r="O296" s="21"/>
      <c r="P296" s="21"/>
      <c r="Q296" s="21"/>
      <c r="R296" s="21"/>
      <c r="S296" s="21"/>
    </row>
    <row r="297" spans="2:19" ht="18" x14ac:dyDescent="0.4">
      <c r="B297" s="44" t="s">
        <v>62</v>
      </c>
      <c r="E297" s="21"/>
      <c r="F297" s="21"/>
      <c r="G297" s="22"/>
      <c r="H297" s="23"/>
      <c r="I297" s="21"/>
      <c r="J297" s="21"/>
      <c r="K297" s="21"/>
      <c r="L297" s="21"/>
      <c r="M297" s="21"/>
      <c r="N297" s="21"/>
      <c r="O297" s="21"/>
      <c r="P297" s="21"/>
      <c r="Q297" s="21"/>
      <c r="R297" s="21"/>
      <c r="S297" s="21"/>
    </row>
    <row r="298" spans="2:19" ht="17.5" x14ac:dyDescent="0.45">
      <c r="B298" s="86" t="s">
        <v>969</v>
      </c>
      <c r="C298" s="4" t="s">
        <v>63</v>
      </c>
      <c r="E298" s="21"/>
      <c r="F298" s="21"/>
      <c r="G298" s="22"/>
      <c r="H298" s="23"/>
      <c r="I298" s="21"/>
      <c r="J298" s="21"/>
      <c r="K298" s="21"/>
      <c r="L298" s="21"/>
      <c r="M298" s="21"/>
      <c r="N298" s="21"/>
      <c r="O298" s="21"/>
      <c r="P298" s="21"/>
      <c r="Q298" s="21"/>
      <c r="R298" s="21"/>
      <c r="S298" s="21"/>
    </row>
    <row r="299" spans="2:19" x14ac:dyDescent="0.35">
      <c r="B299" s="86"/>
      <c r="C299" s="234">
        <f>C296/C291</f>
        <v>0.85997248100981505</v>
      </c>
      <c r="E299" s="21"/>
      <c r="F299" s="21"/>
      <c r="G299" s="22"/>
      <c r="H299" s="23"/>
      <c r="I299" s="21"/>
      <c r="J299" s="21"/>
      <c r="K299" s="21"/>
      <c r="L299" s="21"/>
      <c r="M299" s="21"/>
      <c r="N299" s="21"/>
      <c r="O299" s="21"/>
      <c r="P299" s="21"/>
      <c r="Q299" s="21"/>
      <c r="R299" s="21"/>
      <c r="S299" s="21"/>
    </row>
    <row r="300" spans="2:19" x14ac:dyDescent="0.35">
      <c r="E300" s="21"/>
      <c r="F300" s="21"/>
      <c r="G300" s="22"/>
      <c r="H300" s="23"/>
      <c r="I300" s="21"/>
      <c r="J300" s="21"/>
      <c r="K300" s="21"/>
      <c r="L300" s="21"/>
      <c r="M300" s="21"/>
      <c r="N300" s="21"/>
      <c r="O300" s="21"/>
      <c r="P300" s="21"/>
      <c r="Q300" s="21"/>
      <c r="R300" s="21"/>
      <c r="S300" s="21"/>
    </row>
    <row r="301" spans="2:19" x14ac:dyDescent="0.35">
      <c r="B301" s="4"/>
      <c r="E301" s="21"/>
      <c r="F301" s="21"/>
      <c r="G301" s="22"/>
      <c r="H301" s="23"/>
      <c r="I301" s="21"/>
      <c r="J301" s="21"/>
      <c r="K301" s="21"/>
      <c r="L301" s="21"/>
      <c r="M301" s="21"/>
      <c r="N301" s="21"/>
      <c r="O301" s="21"/>
      <c r="P301" s="21"/>
      <c r="Q301" s="21"/>
      <c r="R301" s="21"/>
      <c r="S301" s="21"/>
    </row>
    <row r="302" spans="2:19" x14ac:dyDescent="0.35">
      <c r="C302" s="27" t="s">
        <v>849</v>
      </c>
      <c r="E302" s="21"/>
      <c r="F302" s="21"/>
      <c r="G302" s="22"/>
      <c r="H302" s="23"/>
      <c r="I302" s="21"/>
      <c r="J302" s="21"/>
      <c r="K302" s="21"/>
      <c r="L302" s="21"/>
      <c r="M302" s="21"/>
      <c r="N302" s="21"/>
      <c r="O302" s="21"/>
      <c r="P302" s="21"/>
      <c r="Q302" s="21"/>
      <c r="R302" s="21"/>
      <c r="S302" s="21"/>
    </row>
    <row r="303" spans="2:19" x14ac:dyDescent="0.35">
      <c r="E303" s="21"/>
      <c r="F303" s="21"/>
      <c r="G303" s="22"/>
      <c r="H303" s="23"/>
      <c r="I303" s="21"/>
      <c r="J303" s="21"/>
      <c r="K303" s="21"/>
      <c r="L303" s="21"/>
      <c r="M303" s="21"/>
      <c r="N303" s="21"/>
      <c r="O303" s="21"/>
      <c r="P303" s="21"/>
      <c r="Q303" s="21"/>
      <c r="R303" s="21"/>
      <c r="S303" s="21"/>
    </row>
    <row r="304" spans="2:19" x14ac:dyDescent="0.35">
      <c r="E304" s="21"/>
      <c r="F304" s="21"/>
      <c r="G304" s="22"/>
      <c r="H304" s="23"/>
      <c r="I304" s="21"/>
      <c r="J304" s="21"/>
      <c r="K304" s="21"/>
      <c r="L304" s="21"/>
      <c r="M304" s="21"/>
      <c r="N304" s="21"/>
      <c r="O304" s="21"/>
      <c r="P304" s="21"/>
      <c r="Q304" s="21"/>
      <c r="R304" s="21"/>
      <c r="S304" s="21"/>
    </row>
    <row r="305" spans="5:19" x14ac:dyDescent="0.35">
      <c r="E305" s="21"/>
      <c r="F305" s="21"/>
      <c r="G305" s="22"/>
      <c r="H305" s="23"/>
      <c r="I305" s="21"/>
      <c r="J305" s="21"/>
      <c r="K305" s="21"/>
      <c r="L305" s="21"/>
      <c r="M305" s="21"/>
      <c r="N305" s="21"/>
      <c r="O305" s="21"/>
      <c r="P305" s="21"/>
      <c r="Q305" s="21"/>
      <c r="R305" s="21"/>
      <c r="S305" s="21"/>
    </row>
    <row r="306" spans="5:19" x14ac:dyDescent="0.35">
      <c r="E306" s="21"/>
      <c r="F306" s="21"/>
      <c r="G306" s="22"/>
      <c r="H306" s="23"/>
      <c r="I306" s="21"/>
      <c r="J306" s="21"/>
      <c r="K306" s="21"/>
      <c r="L306" s="21"/>
      <c r="M306" s="21"/>
      <c r="N306" s="21"/>
      <c r="O306" s="21"/>
      <c r="P306" s="21"/>
      <c r="Q306" s="21"/>
      <c r="R306" s="21"/>
      <c r="S306" s="21"/>
    </row>
    <row r="307" spans="5:19" x14ac:dyDescent="0.35">
      <c r="G307" s="22"/>
      <c r="H307" s="23"/>
    </row>
    <row r="356" spans="7:7" x14ac:dyDescent="0.35">
      <c r="G356" s="235"/>
    </row>
  </sheetData>
  <sheetProtection sheet="1" objects="1" scenarios="1" selectLockedCells="1"/>
  <phoneticPr fontId="4" type="noConversion"/>
  <pageMargins left="0.78749999999999998" right="0.78749999999999998" top="1.0527777777777778" bottom="1.0527777777777778" header="0.78749999999999998" footer="0.78749999999999998"/>
  <pageSetup orientation="portrait" horizontalDpi="300" verticalDpi="300" r:id="rId1"/>
  <headerFooter alignWithMargins="0">
    <oddHeader>&amp;C&amp;"Times New Roman,Regular"&amp;12&amp;A</oddHeader>
    <oddFooter>&amp;C&amp;"Times New Roman,Regular"&amp;12Page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S414"/>
  <sheetViews>
    <sheetView workbookViewId="0">
      <selection activeCell="E27" sqref="E27"/>
    </sheetView>
  </sheetViews>
  <sheetFormatPr defaultColWidth="9.1796875" defaultRowHeight="15.5" x14ac:dyDescent="0.35"/>
  <cols>
    <col min="1" max="1" width="7.54296875" style="20" customWidth="1"/>
    <col min="2" max="2" width="55.453125" style="29" customWidth="1"/>
    <col min="3" max="3" width="17" style="27" customWidth="1"/>
    <col min="4" max="4" width="9.81640625" style="20" customWidth="1"/>
    <col min="5" max="6" width="9.1796875" style="20"/>
    <col min="7" max="7" width="39.81640625" style="29" customWidth="1"/>
    <col min="8" max="8" width="18.81640625" style="27" customWidth="1"/>
    <col min="9" max="9" width="9.1796875" style="20"/>
    <col min="10" max="10" width="21.54296875" style="20" customWidth="1"/>
    <col min="11" max="11" width="9.1796875" style="29" customWidth="1"/>
    <col min="12" max="16384" width="9.1796875" style="20"/>
  </cols>
  <sheetData>
    <row r="1" spans="2:19" ht="20" x14ac:dyDescent="0.4">
      <c r="B1" s="307" t="s">
        <v>71</v>
      </c>
      <c r="C1" s="236"/>
      <c r="D1" s="237"/>
      <c r="E1" s="21"/>
      <c r="F1" s="21"/>
      <c r="G1" s="22"/>
      <c r="H1" s="23"/>
      <c r="I1" s="21"/>
      <c r="J1" s="21"/>
      <c r="K1" s="22"/>
      <c r="L1" s="21"/>
      <c r="M1" s="21"/>
      <c r="N1" s="21"/>
      <c r="O1" s="21"/>
      <c r="P1" s="21"/>
      <c r="Q1" s="21"/>
      <c r="R1" s="21"/>
      <c r="S1" s="21"/>
    </row>
    <row r="2" spans="2:19" x14ac:dyDescent="0.35">
      <c r="B2" s="236"/>
      <c r="C2" s="236"/>
      <c r="D2" s="237"/>
      <c r="E2" s="21"/>
      <c r="F2" s="21"/>
      <c r="G2" s="22"/>
      <c r="H2" s="23"/>
      <c r="I2" s="21"/>
      <c r="J2" s="21"/>
      <c r="K2" s="22"/>
      <c r="L2" s="21"/>
      <c r="M2" s="21"/>
      <c r="N2" s="21"/>
      <c r="O2" s="21"/>
      <c r="P2" s="21"/>
      <c r="Q2" s="21"/>
      <c r="R2" s="21"/>
      <c r="S2" s="21"/>
    </row>
    <row r="3" spans="2:19" x14ac:dyDescent="0.35">
      <c r="B3" s="16"/>
      <c r="C3" s="236"/>
      <c r="D3" s="237"/>
      <c r="E3" s="21"/>
      <c r="F3" s="21"/>
      <c r="G3" s="22"/>
      <c r="H3" s="23"/>
      <c r="I3" s="21"/>
      <c r="J3" s="21"/>
      <c r="K3" s="22"/>
      <c r="L3" s="21"/>
      <c r="M3" s="21"/>
      <c r="N3" s="21"/>
      <c r="O3" s="21"/>
      <c r="P3" s="21"/>
      <c r="Q3" s="21"/>
      <c r="R3" s="21"/>
      <c r="S3" s="21"/>
    </row>
    <row r="4" spans="2:19" x14ac:dyDescent="0.35">
      <c r="C4" s="236"/>
      <c r="D4" s="237"/>
      <c r="E4" s="21"/>
      <c r="F4" s="21"/>
      <c r="G4" s="22"/>
      <c r="H4" s="23"/>
      <c r="I4" s="21"/>
      <c r="J4" s="21"/>
      <c r="K4" s="22"/>
      <c r="L4" s="21"/>
      <c r="M4" s="21"/>
      <c r="N4" s="21"/>
      <c r="O4" s="21"/>
      <c r="P4" s="21"/>
      <c r="Q4" s="21"/>
      <c r="R4" s="21"/>
      <c r="S4" s="21"/>
    </row>
    <row r="5" spans="2:19" x14ac:dyDescent="0.35">
      <c r="B5" s="238"/>
      <c r="C5" s="236"/>
      <c r="D5" s="237"/>
      <c r="E5" s="21"/>
      <c r="F5" s="21"/>
      <c r="G5" s="22"/>
      <c r="H5" s="23"/>
      <c r="I5" s="21"/>
      <c r="J5" s="21"/>
      <c r="K5" s="22"/>
      <c r="L5" s="21"/>
      <c r="M5" s="21"/>
      <c r="N5" s="21"/>
      <c r="O5" s="21"/>
      <c r="P5" s="21"/>
      <c r="Q5" s="21"/>
      <c r="R5" s="21"/>
      <c r="S5" s="21"/>
    </row>
    <row r="6" spans="2:19" x14ac:dyDescent="0.35">
      <c r="B6" s="238"/>
      <c r="C6" s="236"/>
      <c r="D6" s="237"/>
      <c r="E6" s="21"/>
      <c r="F6" s="21"/>
      <c r="G6" s="22"/>
      <c r="H6" s="23"/>
      <c r="I6" s="21"/>
      <c r="J6" s="21"/>
      <c r="K6" s="22"/>
      <c r="L6" s="21"/>
      <c r="M6" s="21"/>
      <c r="N6" s="21"/>
      <c r="O6" s="21"/>
      <c r="P6" s="21"/>
      <c r="Q6" s="21"/>
      <c r="R6" s="21"/>
      <c r="S6" s="21"/>
    </row>
    <row r="7" spans="2:19" x14ac:dyDescent="0.35">
      <c r="B7" s="238"/>
      <c r="C7" s="236"/>
      <c r="D7" s="237"/>
      <c r="E7" s="21"/>
      <c r="F7" s="21"/>
      <c r="G7" s="22"/>
      <c r="H7" s="23"/>
      <c r="I7" s="21"/>
      <c r="J7" s="21"/>
      <c r="K7" s="22"/>
      <c r="L7" s="21"/>
      <c r="M7" s="21"/>
      <c r="N7" s="21"/>
      <c r="O7" s="21"/>
      <c r="P7" s="21"/>
      <c r="Q7" s="21"/>
      <c r="R7" s="21"/>
      <c r="S7" s="21"/>
    </row>
    <row r="8" spans="2:19" x14ac:dyDescent="0.35">
      <c r="B8" s="238"/>
      <c r="C8" s="236"/>
      <c r="D8" s="237"/>
      <c r="E8" s="21"/>
      <c r="F8" s="21"/>
      <c r="G8" s="22"/>
      <c r="H8" s="23"/>
      <c r="I8" s="21"/>
      <c r="J8" s="21"/>
      <c r="K8" s="22"/>
      <c r="L8" s="21"/>
      <c r="M8" s="21"/>
      <c r="N8" s="21"/>
      <c r="O8" s="21"/>
      <c r="P8" s="21"/>
      <c r="Q8" s="21"/>
      <c r="R8" s="21"/>
      <c r="S8" s="21"/>
    </row>
    <row r="9" spans="2:19" x14ac:dyDescent="0.35">
      <c r="B9" s="238"/>
      <c r="C9" s="236"/>
      <c r="D9" s="237"/>
      <c r="E9" s="21"/>
      <c r="F9" s="21"/>
      <c r="G9" s="22"/>
      <c r="H9" s="23"/>
      <c r="I9" s="21"/>
      <c r="J9" s="21"/>
      <c r="K9" s="22"/>
      <c r="L9" s="21"/>
      <c r="M9" s="21"/>
      <c r="N9" s="21"/>
      <c r="O9" s="21"/>
      <c r="P9" s="21"/>
      <c r="Q9" s="21"/>
      <c r="R9" s="21"/>
      <c r="S9" s="21"/>
    </row>
    <row r="10" spans="2:19" x14ac:dyDescent="0.35">
      <c r="B10" s="238"/>
      <c r="C10" s="236"/>
      <c r="D10" s="237"/>
      <c r="E10" s="21"/>
      <c r="F10" s="21"/>
      <c r="G10" s="22"/>
      <c r="H10" s="23"/>
      <c r="I10" s="21"/>
      <c r="J10" s="21"/>
      <c r="K10" s="22"/>
      <c r="L10" s="21"/>
      <c r="M10" s="21"/>
      <c r="N10" s="21"/>
      <c r="O10" s="21"/>
      <c r="P10" s="21"/>
      <c r="Q10" s="21"/>
      <c r="R10" s="21"/>
      <c r="S10" s="21"/>
    </row>
    <row r="11" spans="2:19" x14ac:dyDescent="0.35">
      <c r="B11" s="238"/>
      <c r="C11" s="236"/>
      <c r="D11" s="237"/>
      <c r="E11" s="21"/>
      <c r="F11" s="21"/>
      <c r="G11" s="22"/>
      <c r="H11" s="23"/>
      <c r="I11" s="21"/>
      <c r="J11" s="21"/>
      <c r="K11" s="22"/>
      <c r="L11" s="21"/>
      <c r="M11" s="21"/>
      <c r="N11" s="21"/>
      <c r="O11" s="21"/>
      <c r="P11" s="21"/>
      <c r="Q11" s="21"/>
      <c r="R11" s="21"/>
      <c r="S11" s="21"/>
    </row>
    <row r="12" spans="2:19" x14ac:dyDescent="0.35">
      <c r="B12" s="238"/>
      <c r="C12" s="236"/>
      <c r="D12" s="237"/>
      <c r="E12" s="21"/>
      <c r="F12" s="21"/>
      <c r="G12" s="22"/>
      <c r="H12" s="23"/>
      <c r="I12" s="21"/>
      <c r="J12" s="21"/>
      <c r="K12" s="22"/>
      <c r="L12" s="21"/>
      <c r="M12" s="21"/>
      <c r="N12" s="21"/>
      <c r="O12" s="21"/>
      <c r="P12" s="21"/>
      <c r="Q12" s="21"/>
      <c r="R12" s="21"/>
      <c r="S12" s="21"/>
    </row>
    <row r="13" spans="2:19" x14ac:dyDescent="0.35">
      <c r="B13" s="238"/>
      <c r="C13" s="236"/>
      <c r="D13" s="237"/>
      <c r="E13" s="21"/>
      <c r="F13" s="21"/>
      <c r="G13" s="22"/>
      <c r="H13" s="23"/>
      <c r="I13" s="21"/>
      <c r="J13" s="21"/>
      <c r="K13" s="22"/>
      <c r="L13" s="21"/>
      <c r="M13" s="21"/>
      <c r="N13" s="21"/>
      <c r="O13" s="21"/>
      <c r="P13" s="21"/>
      <c r="Q13" s="21"/>
      <c r="R13" s="21"/>
      <c r="S13" s="21"/>
    </row>
    <row r="14" spans="2:19" x14ac:dyDescent="0.35">
      <c r="B14" s="238"/>
      <c r="C14" s="236"/>
      <c r="D14" s="237"/>
      <c r="E14" s="21"/>
      <c r="F14" s="21"/>
      <c r="G14" s="22"/>
      <c r="H14" s="23"/>
      <c r="I14" s="21"/>
      <c r="J14" s="21"/>
      <c r="K14" s="22"/>
      <c r="L14" s="21"/>
      <c r="M14" s="21"/>
      <c r="N14" s="21"/>
      <c r="O14" s="21"/>
      <c r="P14" s="21"/>
      <c r="Q14" s="21"/>
      <c r="R14" s="21"/>
      <c r="S14" s="21"/>
    </row>
    <row r="15" spans="2:19" x14ac:dyDescent="0.35">
      <c r="B15" s="238"/>
      <c r="C15" s="236"/>
      <c r="D15" s="237"/>
      <c r="E15" s="21"/>
      <c r="F15" s="21"/>
      <c r="G15" s="22"/>
      <c r="H15" s="23"/>
      <c r="I15" s="21"/>
      <c r="J15" s="21"/>
      <c r="K15" s="22"/>
      <c r="L15" s="21"/>
      <c r="M15" s="21"/>
      <c r="N15" s="21"/>
      <c r="O15" s="21"/>
      <c r="P15" s="21"/>
      <c r="Q15" s="21"/>
      <c r="R15" s="21"/>
      <c r="S15" s="21"/>
    </row>
    <row r="16" spans="2:19" x14ac:dyDescent="0.35">
      <c r="B16" s="238"/>
      <c r="C16" s="236"/>
      <c r="D16" s="237"/>
      <c r="E16" s="21"/>
      <c r="F16" s="21"/>
      <c r="G16" s="22"/>
      <c r="H16" s="23"/>
      <c r="I16" s="21"/>
      <c r="J16" s="21"/>
      <c r="K16" s="22"/>
      <c r="L16" s="21"/>
      <c r="M16" s="21"/>
      <c r="N16" s="21"/>
      <c r="O16" s="21"/>
      <c r="P16" s="21"/>
      <c r="Q16" s="21"/>
      <c r="R16" s="21"/>
      <c r="S16" s="21"/>
    </row>
    <row r="17" spans="2:19" x14ac:dyDescent="0.35">
      <c r="B17" s="238"/>
      <c r="C17" s="236"/>
      <c r="D17" s="237"/>
      <c r="E17" s="21"/>
      <c r="F17" s="21"/>
      <c r="G17" s="22"/>
      <c r="H17" s="23"/>
      <c r="I17" s="21"/>
      <c r="J17" s="21"/>
      <c r="K17" s="22"/>
      <c r="L17" s="21"/>
      <c r="M17" s="21"/>
      <c r="N17" s="21"/>
      <c r="O17" s="21"/>
      <c r="P17" s="21"/>
      <c r="Q17" s="21"/>
      <c r="R17" s="21"/>
      <c r="S17" s="21"/>
    </row>
    <row r="18" spans="2:19" x14ac:dyDescent="0.35">
      <c r="B18" s="238"/>
      <c r="C18" s="236"/>
      <c r="D18" s="237"/>
      <c r="E18" s="21"/>
      <c r="F18" s="21"/>
      <c r="G18" s="22"/>
      <c r="H18" s="23"/>
      <c r="I18" s="21"/>
      <c r="J18" s="21"/>
      <c r="K18" s="22"/>
      <c r="L18" s="21"/>
      <c r="M18" s="21"/>
      <c r="N18" s="21"/>
      <c r="O18" s="21"/>
      <c r="P18" s="21"/>
      <c r="Q18" s="21"/>
      <c r="R18" s="21"/>
      <c r="S18" s="21"/>
    </row>
    <row r="19" spans="2:19" x14ac:dyDescent="0.35">
      <c r="B19" s="238"/>
      <c r="C19" s="236"/>
      <c r="D19" s="237"/>
      <c r="E19" s="21"/>
      <c r="F19" s="21"/>
      <c r="G19" s="22"/>
      <c r="H19" s="23"/>
      <c r="I19" s="21"/>
      <c r="J19" s="21"/>
      <c r="K19" s="22"/>
      <c r="L19" s="21"/>
      <c r="M19" s="21"/>
      <c r="N19" s="21"/>
      <c r="O19" s="21"/>
      <c r="P19" s="21"/>
      <c r="Q19" s="21"/>
      <c r="R19" s="21"/>
      <c r="S19" s="21"/>
    </row>
    <row r="20" spans="2:19" x14ac:dyDescent="0.35">
      <c r="B20" s="238"/>
      <c r="C20" s="236"/>
      <c r="D20" s="237"/>
      <c r="E20" s="21"/>
      <c r="F20" s="21"/>
      <c r="G20" s="22"/>
      <c r="H20" s="23"/>
      <c r="I20" s="21"/>
      <c r="J20" s="21"/>
      <c r="K20" s="22"/>
      <c r="L20" s="21"/>
      <c r="M20" s="21"/>
      <c r="N20" s="21"/>
      <c r="O20" s="21"/>
      <c r="P20" s="21"/>
      <c r="Q20" s="21"/>
      <c r="R20" s="21"/>
      <c r="S20" s="21"/>
    </row>
    <row r="21" spans="2:19" x14ac:dyDescent="0.35">
      <c r="B21" s="238"/>
      <c r="C21" s="236"/>
      <c r="D21" s="237"/>
      <c r="E21" s="21"/>
      <c r="F21" s="21"/>
      <c r="G21" s="22"/>
      <c r="H21" s="23"/>
      <c r="I21" s="21"/>
      <c r="J21" s="21"/>
      <c r="K21" s="22"/>
      <c r="L21" s="21"/>
      <c r="M21" s="21"/>
      <c r="N21" s="21"/>
      <c r="O21" s="21"/>
      <c r="P21" s="21"/>
      <c r="Q21" s="21"/>
      <c r="R21" s="21"/>
      <c r="S21" s="21"/>
    </row>
    <row r="22" spans="2:19" x14ac:dyDescent="0.35">
      <c r="B22" s="238"/>
      <c r="C22" s="236"/>
      <c r="D22" s="237"/>
      <c r="E22" s="21"/>
      <c r="F22" s="21"/>
      <c r="G22" s="22"/>
      <c r="H22" s="23"/>
      <c r="I22" s="21"/>
      <c r="J22" s="21"/>
      <c r="K22" s="22"/>
      <c r="L22" s="21"/>
      <c r="M22" s="21"/>
      <c r="N22" s="21"/>
      <c r="O22" s="21"/>
      <c r="P22" s="21"/>
      <c r="Q22" s="21"/>
      <c r="R22" s="21"/>
      <c r="S22" s="21"/>
    </row>
    <row r="23" spans="2:19" x14ac:dyDescent="0.35">
      <c r="B23" s="238"/>
      <c r="C23" s="236"/>
      <c r="D23" s="237"/>
      <c r="E23" s="21"/>
      <c r="F23" s="21"/>
      <c r="G23" s="22"/>
      <c r="H23" s="23"/>
      <c r="I23" s="21"/>
      <c r="J23" s="21"/>
      <c r="K23" s="22"/>
      <c r="L23" s="21"/>
      <c r="M23" s="21"/>
      <c r="N23" s="21"/>
      <c r="O23" s="21"/>
      <c r="P23" s="21"/>
      <c r="Q23" s="21"/>
      <c r="R23" s="21"/>
      <c r="S23" s="21"/>
    </row>
    <row r="24" spans="2:19" x14ac:dyDescent="0.35">
      <c r="B24" s="238"/>
      <c r="C24" s="236"/>
      <c r="D24" s="237"/>
      <c r="E24" s="21"/>
      <c r="F24" s="21"/>
      <c r="G24" s="22"/>
      <c r="H24" s="23"/>
      <c r="I24" s="21"/>
      <c r="J24" s="21"/>
      <c r="K24" s="22"/>
      <c r="L24" s="21"/>
      <c r="M24" s="21"/>
      <c r="N24" s="21"/>
      <c r="O24" s="21"/>
      <c r="P24" s="21"/>
      <c r="Q24" s="21"/>
      <c r="R24" s="21"/>
      <c r="S24" s="21"/>
    </row>
    <row r="25" spans="2:19" x14ac:dyDescent="0.35">
      <c r="B25" s="238"/>
      <c r="C25" s="236"/>
      <c r="D25" s="237"/>
      <c r="E25" s="21"/>
      <c r="F25" s="21"/>
      <c r="G25" s="22"/>
      <c r="H25" s="23"/>
      <c r="I25" s="21"/>
      <c r="J25" s="21"/>
      <c r="K25" s="22"/>
      <c r="L25" s="21"/>
      <c r="M25" s="21"/>
      <c r="N25" s="21"/>
      <c r="O25" s="21"/>
      <c r="P25" s="21"/>
      <c r="Q25" s="21"/>
      <c r="R25" s="21"/>
      <c r="S25" s="21"/>
    </row>
    <row r="26" spans="2:19" x14ac:dyDescent="0.35">
      <c r="B26" s="238"/>
      <c r="C26" s="236"/>
      <c r="D26" s="237"/>
      <c r="E26" s="21"/>
      <c r="F26" s="21"/>
      <c r="G26" s="22"/>
      <c r="H26" s="23"/>
      <c r="I26" s="21"/>
      <c r="J26" s="21"/>
      <c r="K26" s="22"/>
      <c r="L26" s="21"/>
      <c r="M26" s="21"/>
      <c r="N26" s="21"/>
      <c r="O26" s="21"/>
      <c r="P26" s="21"/>
      <c r="Q26" s="21"/>
      <c r="R26" s="21"/>
      <c r="S26" s="21"/>
    </row>
    <row r="27" spans="2:19" x14ac:dyDescent="0.35">
      <c r="B27" s="238"/>
      <c r="C27" s="236"/>
      <c r="D27" s="237"/>
      <c r="E27" s="21"/>
      <c r="F27" s="21"/>
      <c r="G27" s="22"/>
      <c r="H27" s="23"/>
      <c r="I27" s="21"/>
      <c r="J27" s="21"/>
      <c r="K27" s="22"/>
      <c r="L27" s="21"/>
      <c r="M27" s="21"/>
      <c r="N27" s="21"/>
      <c r="O27" s="21"/>
      <c r="P27" s="21"/>
      <c r="Q27" s="21"/>
      <c r="R27" s="21"/>
      <c r="S27" s="21"/>
    </row>
    <row r="28" spans="2:19" x14ac:dyDescent="0.35">
      <c r="B28" s="238"/>
      <c r="C28" s="236"/>
      <c r="D28" s="237"/>
      <c r="E28" s="21"/>
      <c r="F28" s="21"/>
      <c r="G28" s="22"/>
      <c r="H28" s="23"/>
      <c r="I28" s="21"/>
      <c r="J28" s="21"/>
      <c r="K28" s="22"/>
      <c r="L28" s="21"/>
      <c r="M28" s="21"/>
      <c r="N28" s="21"/>
      <c r="O28" s="21"/>
      <c r="P28" s="21"/>
      <c r="Q28" s="21"/>
      <c r="R28" s="21"/>
      <c r="S28" s="21"/>
    </row>
    <row r="29" spans="2:19" x14ac:dyDescent="0.35">
      <c r="B29" s="238"/>
      <c r="C29" s="236"/>
      <c r="D29" s="237"/>
      <c r="E29" s="21"/>
      <c r="F29" s="21"/>
      <c r="G29" s="22"/>
      <c r="H29" s="23"/>
      <c r="I29" s="21"/>
      <c r="J29" s="21"/>
      <c r="K29" s="22"/>
      <c r="L29" s="21"/>
      <c r="M29" s="21"/>
      <c r="N29" s="21"/>
      <c r="O29" s="21"/>
      <c r="P29" s="21"/>
      <c r="Q29" s="21"/>
      <c r="R29" s="21"/>
      <c r="S29" s="21"/>
    </row>
    <row r="30" spans="2:19" x14ac:dyDescent="0.35">
      <c r="B30" s="238"/>
      <c r="C30" s="236"/>
      <c r="D30" s="237"/>
      <c r="E30" s="21"/>
      <c r="F30" s="21"/>
      <c r="G30" s="22"/>
      <c r="H30" s="23"/>
      <c r="I30" s="21"/>
      <c r="J30" s="21"/>
      <c r="K30" s="22"/>
      <c r="L30" s="21"/>
      <c r="M30" s="21"/>
      <c r="N30" s="21"/>
      <c r="O30" s="21"/>
      <c r="P30" s="21"/>
      <c r="Q30" s="21"/>
      <c r="R30" s="21"/>
      <c r="S30" s="21"/>
    </row>
    <row r="31" spans="2:19" x14ac:dyDescent="0.35">
      <c r="B31" s="238"/>
      <c r="C31" s="236"/>
      <c r="D31" s="237"/>
      <c r="E31" s="21"/>
      <c r="F31" s="21"/>
      <c r="G31" s="22"/>
      <c r="H31" s="23"/>
      <c r="I31" s="21"/>
      <c r="J31" s="21"/>
      <c r="K31" s="22"/>
      <c r="L31" s="21"/>
      <c r="M31" s="21"/>
      <c r="N31" s="21"/>
      <c r="O31" s="21"/>
      <c r="P31" s="21"/>
      <c r="Q31" s="21"/>
      <c r="R31" s="21"/>
      <c r="S31" s="21"/>
    </row>
    <row r="32" spans="2:19" x14ac:dyDescent="0.35">
      <c r="B32" s="238"/>
      <c r="C32" s="236"/>
      <c r="D32" s="237"/>
      <c r="E32" s="21"/>
      <c r="F32" s="21"/>
      <c r="G32" s="22"/>
      <c r="H32" s="23"/>
      <c r="I32" s="21"/>
      <c r="J32" s="21"/>
      <c r="K32" s="22"/>
      <c r="L32" s="21"/>
      <c r="M32" s="21"/>
      <c r="N32" s="21"/>
      <c r="O32" s="21"/>
      <c r="P32" s="21"/>
      <c r="Q32" s="21"/>
      <c r="R32" s="21"/>
      <c r="S32" s="21"/>
    </row>
    <row r="33" spans="2:19" x14ac:dyDescent="0.35">
      <c r="B33" s="238"/>
      <c r="C33" s="236"/>
      <c r="D33" s="237"/>
      <c r="E33" s="21"/>
      <c r="F33" s="21"/>
      <c r="G33" s="22"/>
      <c r="H33" s="23"/>
      <c r="I33" s="21"/>
      <c r="J33" s="21"/>
      <c r="K33" s="22"/>
      <c r="L33" s="21"/>
      <c r="M33" s="21"/>
      <c r="N33" s="21"/>
      <c r="O33" s="21"/>
      <c r="P33" s="21"/>
      <c r="Q33" s="21"/>
      <c r="R33" s="21"/>
      <c r="S33" s="21"/>
    </row>
    <row r="34" spans="2:19" x14ac:dyDescent="0.35">
      <c r="B34" s="238"/>
      <c r="C34" s="236"/>
      <c r="D34" s="237"/>
      <c r="E34" s="21"/>
      <c r="F34" s="21"/>
      <c r="G34" s="22"/>
      <c r="H34" s="23"/>
      <c r="I34" s="21"/>
      <c r="J34" s="21"/>
      <c r="K34" s="22"/>
      <c r="L34" s="21"/>
      <c r="M34" s="21"/>
      <c r="N34" s="21"/>
      <c r="O34" s="21"/>
      <c r="P34" s="21"/>
      <c r="Q34" s="21"/>
      <c r="R34" s="21"/>
      <c r="S34" s="21"/>
    </row>
    <row r="35" spans="2:19" x14ac:dyDescent="0.35">
      <c r="B35" s="238"/>
      <c r="C35" s="236"/>
      <c r="D35" s="237"/>
      <c r="E35" s="21"/>
      <c r="F35" s="21"/>
      <c r="G35" s="22"/>
      <c r="H35" s="23"/>
      <c r="I35" s="21"/>
      <c r="J35" s="21"/>
      <c r="K35" s="22"/>
      <c r="L35" s="21"/>
      <c r="M35" s="21"/>
      <c r="N35" s="21"/>
      <c r="O35" s="21"/>
      <c r="P35" s="21"/>
      <c r="Q35" s="21"/>
      <c r="R35" s="21"/>
      <c r="S35" s="21"/>
    </row>
    <row r="36" spans="2:19" x14ac:dyDescent="0.35">
      <c r="B36" s="238"/>
      <c r="C36" s="236"/>
      <c r="D36" s="237"/>
      <c r="E36" s="21"/>
      <c r="F36" s="21"/>
      <c r="G36" s="22"/>
      <c r="H36" s="23"/>
      <c r="I36" s="21"/>
      <c r="J36" s="21"/>
      <c r="K36" s="22"/>
      <c r="L36" s="21"/>
      <c r="M36" s="21"/>
      <c r="N36" s="21"/>
      <c r="O36" s="21"/>
      <c r="P36" s="21"/>
      <c r="Q36" s="21"/>
      <c r="R36" s="21"/>
      <c r="S36" s="21"/>
    </row>
    <row r="37" spans="2:19" x14ac:dyDescent="0.35">
      <c r="B37" s="238"/>
      <c r="C37" s="236"/>
      <c r="D37" s="237"/>
      <c r="E37" s="21"/>
      <c r="F37" s="21"/>
      <c r="G37" s="22"/>
      <c r="H37" s="23"/>
      <c r="I37" s="21"/>
      <c r="J37" s="21"/>
      <c r="K37" s="22"/>
      <c r="L37" s="21"/>
      <c r="M37" s="21"/>
      <c r="N37" s="21"/>
      <c r="O37" s="21"/>
      <c r="P37" s="21"/>
      <c r="Q37" s="21"/>
      <c r="R37" s="21"/>
      <c r="S37" s="21"/>
    </row>
    <row r="38" spans="2:19" x14ac:dyDescent="0.35">
      <c r="B38" s="238"/>
      <c r="C38" s="236"/>
      <c r="D38" s="237"/>
      <c r="E38" s="21"/>
      <c r="F38" s="21"/>
      <c r="G38" s="22"/>
      <c r="H38" s="23"/>
      <c r="I38" s="21"/>
      <c r="J38" s="21"/>
      <c r="K38" s="22"/>
      <c r="L38" s="21"/>
      <c r="M38" s="21"/>
      <c r="N38" s="21"/>
      <c r="O38" s="21"/>
      <c r="P38" s="21"/>
      <c r="Q38" s="21"/>
      <c r="R38" s="21"/>
      <c r="S38" s="21"/>
    </row>
    <row r="39" spans="2:19" x14ac:dyDescent="0.35">
      <c r="B39" s="238"/>
      <c r="C39" s="236"/>
      <c r="D39" s="237"/>
      <c r="E39" s="21"/>
      <c r="F39" s="21"/>
      <c r="G39" s="22"/>
      <c r="H39" s="23"/>
      <c r="I39" s="21"/>
      <c r="J39" s="21"/>
      <c r="K39" s="22"/>
      <c r="L39" s="21"/>
      <c r="M39" s="21"/>
      <c r="N39" s="21"/>
      <c r="O39" s="21"/>
      <c r="P39" s="21"/>
      <c r="Q39" s="21"/>
      <c r="R39" s="21"/>
      <c r="S39" s="21"/>
    </row>
    <row r="40" spans="2:19" x14ac:dyDescent="0.35">
      <c r="B40" s="238"/>
      <c r="C40" s="236"/>
      <c r="D40" s="237"/>
      <c r="E40" s="21"/>
      <c r="F40" s="21"/>
      <c r="G40" s="22"/>
      <c r="H40" s="23"/>
      <c r="I40" s="21"/>
      <c r="J40" s="21"/>
      <c r="K40" s="22"/>
      <c r="L40" s="21"/>
      <c r="M40" s="21"/>
      <c r="N40" s="21"/>
      <c r="O40" s="21"/>
      <c r="P40" s="21"/>
      <c r="Q40" s="21"/>
      <c r="R40" s="21"/>
      <c r="S40" s="21"/>
    </row>
    <row r="41" spans="2:19" x14ac:dyDescent="0.35">
      <c r="B41" s="238"/>
      <c r="C41" s="236"/>
      <c r="D41" s="237"/>
      <c r="E41" s="21"/>
      <c r="F41" s="21"/>
      <c r="G41" s="22"/>
      <c r="H41" s="23"/>
      <c r="I41" s="21"/>
      <c r="J41" s="21"/>
      <c r="K41" s="22"/>
      <c r="L41" s="21"/>
      <c r="M41" s="21"/>
      <c r="N41" s="21"/>
      <c r="O41" s="21"/>
      <c r="P41" s="21"/>
      <c r="Q41" s="21"/>
      <c r="R41" s="21"/>
      <c r="S41" s="21"/>
    </row>
    <row r="42" spans="2:19" x14ac:dyDescent="0.35">
      <c r="B42" s="238"/>
      <c r="C42" s="236"/>
      <c r="D42" s="237"/>
      <c r="E42" s="21"/>
      <c r="F42" s="21"/>
      <c r="G42" s="22"/>
      <c r="H42" s="23"/>
      <c r="I42" s="21"/>
      <c r="J42" s="21"/>
      <c r="K42" s="22"/>
      <c r="L42" s="21"/>
      <c r="M42" s="21"/>
      <c r="N42" s="21"/>
      <c r="O42" s="21"/>
      <c r="P42" s="21"/>
      <c r="Q42" s="21"/>
      <c r="R42" s="21"/>
      <c r="S42" s="21"/>
    </row>
    <row r="43" spans="2:19" x14ac:dyDescent="0.35">
      <c r="B43" s="238"/>
      <c r="C43" s="236"/>
      <c r="D43" s="237"/>
      <c r="E43" s="21"/>
      <c r="F43" s="21"/>
      <c r="G43" s="22"/>
      <c r="H43" s="23"/>
      <c r="I43" s="21"/>
      <c r="J43" s="21"/>
      <c r="K43" s="22"/>
      <c r="L43" s="21"/>
      <c r="M43" s="21"/>
      <c r="N43" s="21"/>
      <c r="O43" s="21"/>
      <c r="P43" s="21"/>
      <c r="Q43" s="21"/>
      <c r="R43" s="21"/>
      <c r="S43" s="21"/>
    </row>
    <row r="44" spans="2:19" x14ac:dyDescent="0.35">
      <c r="B44" s="238"/>
      <c r="C44" s="236"/>
      <c r="D44" s="237"/>
      <c r="E44" s="21"/>
      <c r="F44" s="21"/>
      <c r="G44" s="22"/>
      <c r="H44" s="23"/>
      <c r="I44" s="21"/>
      <c r="J44" s="21"/>
      <c r="K44" s="22"/>
      <c r="L44" s="21"/>
      <c r="M44" s="21"/>
      <c r="N44" s="21"/>
      <c r="O44" s="21"/>
      <c r="P44" s="21"/>
      <c r="Q44" s="21"/>
      <c r="R44" s="21"/>
      <c r="S44" s="21"/>
    </row>
    <row r="45" spans="2:19" x14ac:dyDescent="0.35">
      <c r="B45" s="238"/>
      <c r="C45" s="236"/>
      <c r="D45" s="237"/>
      <c r="E45" s="21"/>
      <c r="F45" s="21"/>
      <c r="G45" s="22"/>
      <c r="H45" s="23"/>
      <c r="I45" s="21"/>
      <c r="J45" s="21"/>
      <c r="K45" s="22"/>
      <c r="L45" s="21"/>
      <c r="M45" s="21"/>
      <c r="N45" s="21"/>
      <c r="O45" s="21"/>
      <c r="P45" s="21"/>
      <c r="Q45" s="21"/>
      <c r="R45" s="21"/>
      <c r="S45" s="21"/>
    </row>
    <row r="46" spans="2:19" x14ac:dyDescent="0.35">
      <c r="B46" s="238"/>
      <c r="C46" s="236"/>
      <c r="D46" s="237"/>
      <c r="E46" s="21"/>
      <c r="F46" s="21"/>
      <c r="G46" s="22"/>
      <c r="H46" s="23"/>
      <c r="I46" s="21"/>
      <c r="J46" s="21"/>
      <c r="K46" s="22"/>
      <c r="L46" s="21"/>
      <c r="M46" s="21"/>
      <c r="N46" s="21"/>
      <c r="O46" s="21"/>
      <c r="P46" s="21"/>
      <c r="Q46" s="21"/>
      <c r="R46" s="21"/>
      <c r="S46" s="21"/>
    </row>
    <row r="47" spans="2:19" x14ac:dyDescent="0.35">
      <c r="B47" s="238"/>
      <c r="C47" s="236"/>
      <c r="D47" s="237"/>
      <c r="E47" s="21"/>
      <c r="F47" s="21"/>
      <c r="G47" s="22"/>
      <c r="H47" s="23"/>
      <c r="I47" s="21"/>
      <c r="J47" s="21"/>
      <c r="K47" s="22"/>
      <c r="L47" s="21"/>
      <c r="M47" s="21"/>
      <c r="N47" s="21"/>
      <c r="O47" s="21"/>
      <c r="P47" s="21"/>
      <c r="Q47" s="21"/>
      <c r="R47" s="21"/>
      <c r="S47" s="21"/>
    </row>
    <row r="48" spans="2:19" x14ac:dyDescent="0.35">
      <c r="B48" s="238"/>
      <c r="C48" s="236"/>
      <c r="D48" s="237"/>
      <c r="E48" s="21"/>
      <c r="F48" s="21"/>
      <c r="G48" s="22"/>
      <c r="H48" s="23"/>
      <c r="I48" s="21"/>
      <c r="J48" s="21"/>
      <c r="K48" s="22"/>
      <c r="L48" s="21"/>
      <c r="M48" s="21"/>
      <c r="N48" s="21"/>
      <c r="O48" s="21"/>
      <c r="P48" s="21"/>
      <c r="Q48" s="21"/>
      <c r="R48" s="21"/>
      <c r="S48" s="21"/>
    </row>
    <row r="49" spans="2:19" x14ac:dyDescent="0.35">
      <c r="B49" s="238"/>
      <c r="C49" s="236"/>
      <c r="D49" s="237"/>
      <c r="E49" s="21"/>
      <c r="F49" s="21"/>
      <c r="G49" s="22"/>
      <c r="H49" s="23"/>
      <c r="I49" s="21"/>
      <c r="J49" s="21"/>
      <c r="K49" s="22"/>
      <c r="L49" s="21"/>
      <c r="M49" s="21"/>
      <c r="N49" s="21"/>
      <c r="O49" s="21"/>
      <c r="P49" s="21"/>
      <c r="Q49" s="21"/>
      <c r="R49" s="21"/>
      <c r="S49" s="21"/>
    </row>
    <row r="50" spans="2:19" x14ac:dyDescent="0.35">
      <c r="B50" s="238"/>
      <c r="C50" s="236"/>
      <c r="D50" s="237"/>
      <c r="E50" s="21"/>
      <c r="F50" s="21"/>
      <c r="G50" s="22"/>
      <c r="H50" s="23"/>
      <c r="I50" s="21"/>
      <c r="J50" s="21"/>
      <c r="K50" s="22"/>
      <c r="L50" s="21"/>
      <c r="M50" s="21"/>
      <c r="N50" s="21"/>
      <c r="O50" s="21"/>
      <c r="P50" s="21"/>
      <c r="Q50" s="21"/>
      <c r="R50" s="21"/>
      <c r="S50" s="21"/>
    </row>
    <row r="51" spans="2:19" x14ac:dyDescent="0.35">
      <c r="B51" s="238"/>
      <c r="C51" s="236"/>
      <c r="D51" s="237"/>
      <c r="E51" s="21"/>
      <c r="F51" s="21"/>
      <c r="G51" s="22"/>
      <c r="H51" s="23"/>
      <c r="I51" s="21"/>
      <c r="J51" s="21"/>
      <c r="K51" s="22"/>
      <c r="L51" s="21"/>
      <c r="M51" s="21"/>
      <c r="N51" s="21"/>
      <c r="O51" s="21"/>
      <c r="P51" s="21"/>
      <c r="Q51" s="21"/>
      <c r="R51" s="21"/>
      <c r="S51" s="21"/>
    </row>
    <row r="52" spans="2:19" x14ac:dyDescent="0.35">
      <c r="B52" s="238"/>
      <c r="C52" s="236"/>
      <c r="D52" s="237"/>
      <c r="E52" s="21"/>
      <c r="F52" s="21"/>
      <c r="G52" s="22"/>
      <c r="H52" s="23"/>
      <c r="I52" s="21"/>
      <c r="J52" s="21"/>
      <c r="K52" s="22"/>
      <c r="L52" s="21"/>
      <c r="M52" s="21"/>
      <c r="N52" s="21"/>
      <c r="O52" s="21"/>
      <c r="P52" s="21"/>
      <c r="Q52" s="21"/>
      <c r="R52" s="21"/>
      <c r="S52" s="21"/>
    </row>
    <row r="53" spans="2:19" x14ac:dyDescent="0.35">
      <c r="B53" s="238"/>
      <c r="C53" s="236"/>
      <c r="D53" s="237"/>
      <c r="E53" s="21"/>
      <c r="F53" s="21"/>
      <c r="G53" s="22"/>
      <c r="H53" s="23"/>
      <c r="I53" s="21"/>
      <c r="J53" s="21"/>
      <c r="K53" s="22"/>
      <c r="L53" s="21"/>
      <c r="M53" s="21"/>
      <c r="N53" s="21"/>
      <c r="O53" s="21"/>
      <c r="P53" s="21"/>
      <c r="Q53" s="21"/>
      <c r="R53" s="21"/>
      <c r="S53" s="21"/>
    </row>
    <row r="54" spans="2:19" x14ac:dyDescent="0.35">
      <c r="B54" s="238"/>
      <c r="C54" s="236"/>
      <c r="D54" s="237"/>
      <c r="E54" s="21"/>
      <c r="F54" s="21"/>
      <c r="G54" s="22"/>
      <c r="H54" s="23"/>
      <c r="I54" s="21"/>
      <c r="J54" s="21"/>
      <c r="K54" s="22"/>
      <c r="L54" s="21"/>
      <c r="M54" s="21"/>
      <c r="N54" s="21"/>
      <c r="O54" s="21"/>
      <c r="P54" s="21"/>
      <c r="Q54" s="21"/>
      <c r="R54" s="21"/>
      <c r="S54" s="21"/>
    </row>
    <row r="55" spans="2:19" x14ac:dyDescent="0.35">
      <c r="B55" s="238"/>
      <c r="C55" s="236"/>
      <c r="D55" s="237"/>
      <c r="E55" s="21"/>
      <c r="F55" s="21"/>
      <c r="G55" s="22"/>
      <c r="H55" s="23"/>
      <c r="I55" s="21"/>
      <c r="J55" s="21"/>
      <c r="K55" s="22"/>
      <c r="L55" s="21"/>
      <c r="M55" s="21"/>
      <c r="N55" s="21"/>
      <c r="O55" s="21"/>
      <c r="P55" s="21"/>
      <c r="Q55" s="21"/>
      <c r="R55" s="21"/>
      <c r="S55" s="21"/>
    </row>
    <row r="56" spans="2:19" x14ac:dyDescent="0.35">
      <c r="B56" s="238"/>
      <c r="C56" s="236"/>
      <c r="D56" s="237"/>
      <c r="E56" s="21"/>
      <c r="F56" s="21"/>
      <c r="G56" s="22"/>
      <c r="H56" s="23"/>
      <c r="I56" s="21"/>
      <c r="J56" s="21"/>
      <c r="K56" s="22"/>
      <c r="L56" s="21"/>
      <c r="M56" s="21"/>
      <c r="N56" s="21"/>
      <c r="O56" s="21"/>
      <c r="P56" s="21"/>
      <c r="Q56" s="21"/>
      <c r="R56" s="21"/>
      <c r="S56" s="21"/>
    </row>
    <row r="57" spans="2:19" x14ac:dyDescent="0.35">
      <c r="B57" s="238"/>
      <c r="C57" s="236"/>
      <c r="D57" s="237"/>
      <c r="E57" s="21"/>
      <c r="F57" s="21"/>
      <c r="G57" s="22"/>
      <c r="H57" s="23"/>
      <c r="I57" s="21"/>
      <c r="J57" s="21"/>
      <c r="K57" s="22"/>
      <c r="L57" s="21"/>
      <c r="M57" s="21"/>
      <c r="N57" s="21"/>
      <c r="O57" s="21"/>
      <c r="P57" s="21"/>
      <c r="Q57" s="21"/>
      <c r="R57" s="21"/>
      <c r="S57" s="21"/>
    </row>
    <row r="58" spans="2:19" x14ac:dyDescent="0.35">
      <c r="B58" s="238"/>
      <c r="C58" s="236"/>
      <c r="D58" s="237"/>
      <c r="E58" s="21"/>
      <c r="F58" s="21"/>
      <c r="G58" s="22"/>
      <c r="H58" s="23"/>
      <c r="I58" s="21"/>
      <c r="J58" s="21"/>
      <c r="K58" s="22"/>
      <c r="L58" s="21"/>
      <c r="M58" s="21"/>
      <c r="N58" s="21"/>
      <c r="O58" s="21"/>
      <c r="P58" s="21"/>
      <c r="Q58" s="21"/>
      <c r="R58" s="21"/>
      <c r="S58" s="21"/>
    </row>
    <row r="59" spans="2:19" x14ac:dyDescent="0.35">
      <c r="B59" s="238"/>
      <c r="C59" s="236"/>
      <c r="D59" s="237"/>
      <c r="E59" s="21"/>
      <c r="F59" s="21"/>
      <c r="G59" s="22"/>
      <c r="H59" s="23"/>
      <c r="I59" s="21"/>
      <c r="J59" s="21"/>
      <c r="K59" s="22"/>
      <c r="L59" s="21"/>
      <c r="M59" s="21"/>
      <c r="N59" s="21"/>
      <c r="O59" s="21"/>
      <c r="P59" s="21"/>
      <c r="Q59" s="21"/>
      <c r="R59" s="21"/>
      <c r="S59" s="21"/>
    </row>
    <row r="60" spans="2:19" x14ac:dyDescent="0.35">
      <c r="B60" s="238"/>
      <c r="C60" s="236"/>
      <c r="D60" s="237"/>
      <c r="E60" s="21"/>
      <c r="F60" s="21"/>
      <c r="G60" s="22"/>
      <c r="H60" s="23"/>
      <c r="I60" s="21"/>
      <c r="J60" s="21"/>
      <c r="K60" s="22"/>
      <c r="L60" s="21"/>
      <c r="M60" s="21"/>
      <c r="N60" s="21"/>
      <c r="O60" s="21"/>
      <c r="P60" s="21"/>
      <c r="Q60" s="21"/>
      <c r="R60" s="21"/>
      <c r="S60" s="21"/>
    </row>
    <row r="61" spans="2:19" x14ac:dyDescent="0.35">
      <c r="B61" s="238"/>
      <c r="C61" s="236"/>
      <c r="D61" s="237"/>
      <c r="E61" s="21"/>
      <c r="F61" s="21"/>
      <c r="G61" s="22"/>
      <c r="H61" s="23"/>
      <c r="I61" s="21"/>
      <c r="J61" s="21"/>
      <c r="K61" s="22"/>
      <c r="L61" s="21"/>
      <c r="M61" s="21"/>
      <c r="N61" s="21"/>
      <c r="O61" s="21"/>
      <c r="P61" s="21"/>
      <c r="Q61" s="21"/>
      <c r="R61" s="21"/>
      <c r="S61" s="21"/>
    </row>
    <row r="62" spans="2:19" x14ac:dyDescent="0.35">
      <c r="B62" s="238"/>
      <c r="C62" s="236"/>
      <c r="D62" s="237"/>
      <c r="E62" s="21"/>
      <c r="F62" s="21"/>
      <c r="G62" s="22"/>
      <c r="H62" s="23"/>
      <c r="I62" s="21"/>
      <c r="J62" s="21"/>
      <c r="K62" s="22"/>
      <c r="L62" s="21"/>
      <c r="M62" s="21"/>
      <c r="N62" s="21"/>
      <c r="O62" s="21"/>
      <c r="P62" s="21"/>
      <c r="Q62" s="21"/>
      <c r="R62" s="21"/>
      <c r="S62" s="21"/>
    </row>
    <row r="63" spans="2:19" x14ac:dyDescent="0.35">
      <c r="B63" s="238"/>
      <c r="C63" s="236"/>
      <c r="D63" s="237"/>
      <c r="E63" s="21"/>
      <c r="F63" s="21"/>
      <c r="G63" s="22"/>
      <c r="H63" s="23"/>
      <c r="I63" s="21"/>
      <c r="J63" s="21"/>
      <c r="K63" s="22"/>
      <c r="L63" s="21"/>
      <c r="M63" s="21"/>
      <c r="N63" s="21"/>
      <c r="O63" s="21"/>
      <c r="P63" s="21"/>
      <c r="Q63" s="21"/>
      <c r="R63" s="21"/>
      <c r="S63" s="21"/>
    </row>
    <row r="64" spans="2:19" x14ac:dyDescent="0.35">
      <c r="B64" s="238"/>
      <c r="C64" s="236"/>
      <c r="D64" s="237"/>
      <c r="E64" s="21"/>
      <c r="F64" s="21"/>
      <c r="G64" s="22"/>
      <c r="H64" s="23"/>
      <c r="I64" s="21"/>
      <c r="J64" s="21"/>
      <c r="K64" s="22"/>
      <c r="L64" s="21"/>
      <c r="M64" s="21"/>
      <c r="N64" s="21"/>
      <c r="O64" s="21"/>
      <c r="P64" s="21"/>
      <c r="Q64" s="21"/>
      <c r="R64" s="21"/>
      <c r="S64" s="21"/>
    </row>
    <row r="65" spans="2:19" x14ac:dyDescent="0.35">
      <c r="B65" s="238"/>
      <c r="C65" s="236"/>
      <c r="D65" s="237"/>
      <c r="E65" s="21"/>
      <c r="F65" s="21"/>
      <c r="G65" s="22"/>
      <c r="H65" s="23"/>
      <c r="I65" s="21"/>
      <c r="J65" s="21"/>
      <c r="K65" s="22"/>
      <c r="L65" s="21"/>
      <c r="M65" s="21"/>
      <c r="N65" s="21"/>
      <c r="O65" s="21"/>
      <c r="P65" s="21"/>
      <c r="Q65" s="21"/>
      <c r="R65" s="21"/>
      <c r="S65" s="21"/>
    </row>
    <row r="66" spans="2:19" x14ac:dyDescent="0.35">
      <c r="B66" s="238"/>
      <c r="C66" s="236"/>
      <c r="D66" s="237"/>
      <c r="E66" s="21"/>
      <c r="F66" s="21"/>
      <c r="G66" s="22"/>
      <c r="H66" s="23"/>
      <c r="I66" s="21"/>
      <c r="J66" s="21"/>
      <c r="K66" s="22"/>
      <c r="L66" s="21"/>
      <c r="M66" s="21"/>
      <c r="N66" s="21"/>
      <c r="O66" s="21"/>
      <c r="P66" s="21"/>
      <c r="Q66" s="21"/>
      <c r="R66" s="21"/>
      <c r="S66" s="21"/>
    </row>
    <row r="67" spans="2:19" x14ac:dyDescent="0.35">
      <c r="B67" s="238"/>
      <c r="C67" s="236"/>
      <c r="D67" s="237"/>
      <c r="E67" s="237"/>
      <c r="F67" s="237"/>
      <c r="G67" s="22"/>
      <c r="H67" s="23"/>
      <c r="I67" s="21"/>
      <c r="J67" s="21"/>
    </row>
    <row r="68" spans="2:19" x14ac:dyDescent="0.35">
      <c r="B68" s="238"/>
      <c r="C68" s="236"/>
      <c r="D68" s="237"/>
      <c r="E68" s="237"/>
      <c r="F68" s="237"/>
      <c r="G68" s="22"/>
      <c r="H68" s="23"/>
      <c r="I68" s="21"/>
      <c r="J68" s="21"/>
    </row>
    <row r="69" spans="2:19" x14ac:dyDescent="0.35">
      <c r="B69" s="238"/>
      <c r="C69" s="236"/>
      <c r="D69" s="237"/>
      <c r="E69" s="237"/>
      <c r="F69" s="237"/>
      <c r="G69" s="22"/>
      <c r="H69" s="23"/>
      <c r="I69" s="21"/>
      <c r="J69" s="21"/>
    </row>
    <row r="70" spans="2:19" x14ac:dyDescent="0.35">
      <c r="B70" s="238"/>
      <c r="C70" s="236"/>
      <c r="D70" s="237"/>
      <c r="E70" s="237"/>
      <c r="F70" s="237"/>
      <c r="G70" s="22"/>
      <c r="H70" s="23"/>
      <c r="I70" s="21"/>
      <c r="J70" s="21"/>
    </row>
    <row r="71" spans="2:19" x14ac:dyDescent="0.35">
      <c r="B71" s="238"/>
      <c r="C71" s="236"/>
      <c r="D71" s="237"/>
      <c r="E71" s="237"/>
      <c r="F71" s="237"/>
      <c r="G71" s="22"/>
      <c r="H71" s="23"/>
      <c r="I71" s="21"/>
      <c r="J71" s="21"/>
    </row>
    <row r="72" spans="2:19" x14ac:dyDescent="0.35">
      <c r="B72" s="238"/>
      <c r="C72" s="236"/>
      <c r="D72" s="237"/>
      <c r="E72" s="237"/>
      <c r="F72" s="237"/>
      <c r="G72" s="22"/>
      <c r="H72" s="23"/>
      <c r="I72" s="21"/>
      <c r="J72" s="21"/>
    </row>
    <row r="73" spans="2:19" x14ac:dyDescent="0.35">
      <c r="B73" s="238"/>
      <c r="C73" s="236"/>
      <c r="D73" s="237"/>
      <c r="E73" s="237"/>
      <c r="F73" s="237"/>
      <c r="G73" s="22"/>
      <c r="H73" s="23"/>
      <c r="I73" s="21"/>
      <c r="J73" s="21"/>
    </row>
    <row r="74" spans="2:19" x14ac:dyDescent="0.35">
      <c r="B74" s="238"/>
      <c r="C74" s="236"/>
      <c r="D74" s="237"/>
      <c r="E74" s="237"/>
      <c r="F74" s="237"/>
      <c r="G74" s="22"/>
      <c r="H74" s="23"/>
      <c r="I74" s="21"/>
      <c r="J74" s="21"/>
    </row>
    <row r="75" spans="2:19" x14ac:dyDescent="0.35">
      <c r="B75" s="238"/>
      <c r="C75" s="236"/>
      <c r="D75" s="237"/>
      <c r="E75" s="237"/>
      <c r="F75" s="237"/>
      <c r="G75" s="22"/>
      <c r="H75" s="23"/>
      <c r="I75" s="21"/>
      <c r="J75" s="21"/>
    </row>
    <row r="76" spans="2:19" x14ac:dyDescent="0.35">
      <c r="B76" s="238"/>
      <c r="C76" s="236"/>
      <c r="D76" s="237"/>
      <c r="E76" s="237"/>
      <c r="F76" s="237"/>
      <c r="G76" s="22"/>
      <c r="H76" s="23"/>
      <c r="I76" s="21"/>
      <c r="J76" s="21"/>
    </row>
    <row r="77" spans="2:19" x14ac:dyDescent="0.35">
      <c r="B77" s="238"/>
      <c r="C77" s="236"/>
      <c r="D77" s="237"/>
      <c r="E77" s="237"/>
      <c r="F77" s="237"/>
      <c r="G77" s="22"/>
      <c r="H77" s="23"/>
      <c r="I77" s="21"/>
      <c r="J77" s="21"/>
    </row>
    <row r="78" spans="2:19" x14ac:dyDescent="0.35">
      <c r="B78" s="238"/>
      <c r="C78" s="236"/>
      <c r="D78" s="237"/>
      <c r="E78" s="237"/>
      <c r="F78" s="237"/>
      <c r="G78" s="22"/>
      <c r="H78" s="23"/>
      <c r="I78" s="21"/>
      <c r="J78" s="21"/>
    </row>
    <row r="79" spans="2:19" x14ac:dyDescent="0.35">
      <c r="B79" s="238"/>
      <c r="C79" s="236"/>
      <c r="D79" s="237"/>
      <c r="E79" s="237"/>
      <c r="F79" s="237"/>
      <c r="G79" s="22"/>
      <c r="H79" s="23"/>
      <c r="I79" s="21"/>
      <c r="J79" s="21"/>
    </row>
    <row r="80" spans="2:19" x14ac:dyDescent="0.35">
      <c r="B80" s="238"/>
      <c r="C80" s="236"/>
      <c r="D80" s="237"/>
      <c r="E80" s="237"/>
      <c r="F80" s="237"/>
      <c r="G80" s="22"/>
      <c r="H80" s="23"/>
      <c r="I80" s="21"/>
      <c r="J80" s="21"/>
    </row>
    <row r="81" spans="2:10" x14ac:dyDescent="0.35">
      <c r="B81" s="238"/>
      <c r="C81" s="236"/>
      <c r="D81" s="237"/>
      <c r="E81" s="237"/>
      <c r="F81" s="237"/>
      <c r="G81" s="22"/>
      <c r="H81" s="23"/>
      <c r="I81" s="21"/>
      <c r="J81" s="21"/>
    </row>
    <row r="82" spans="2:10" x14ac:dyDescent="0.35">
      <c r="B82" s="238"/>
      <c r="C82" s="236"/>
      <c r="D82" s="237"/>
      <c r="E82" s="237"/>
      <c r="F82" s="237"/>
      <c r="G82" s="22"/>
      <c r="H82" s="23"/>
      <c r="I82" s="21"/>
      <c r="J82" s="21"/>
    </row>
    <row r="83" spans="2:10" x14ac:dyDescent="0.35">
      <c r="B83" s="238"/>
      <c r="C83" s="236"/>
      <c r="D83" s="237"/>
      <c r="E83" s="237"/>
      <c r="F83" s="237"/>
      <c r="G83" s="22"/>
      <c r="H83" s="23"/>
      <c r="I83" s="21"/>
      <c r="J83" s="21"/>
    </row>
    <row r="84" spans="2:10" x14ac:dyDescent="0.35">
      <c r="B84" s="238"/>
      <c r="C84" s="236"/>
      <c r="D84" s="237"/>
      <c r="E84" s="237"/>
      <c r="F84" s="237"/>
      <c r="G84" s="22"/>
      <c r="H84" s="23"/>
      <c r="I84" s="21"/>
      <c r="J84" s="21"/>
    </row>
    <row r="85" spans="2:10" x14ac:dyDescent="0.35">
      <c r="B85" s="238"/>
      <c r="C85" s="236"/>
      <c r="D85" s="237"/>
      <c r="E85" s="237"/>
      <c r="F85" s="237"/>
      <c r="G85" s="22"/>
      <c r="H85" s="23"/>
      <c r="I85" s="21"/>
      <c r="J85" s="21"/>
    </row>
    <row r="86" spans="2:10" x14ac:dyDescent="0.35">
      <c r="B86" s="238"/>
      <c r="C86" s="236"/>
      <c r="D86" s="237"/>
      <c r="E86" s="237"/>
      <c r="F86" s="237"/>
      <c r="G86" s="22"/>
      <c r="H86" s="23"/>
      <c r="I86" s="21"/>
      <c r="J86" s="21"/>
    </row>
    <row r="87" spans="2:10" x14ac:dyDescent="0.35">
      <c r="B87" s="238"/>
      <c r="C87" s="236"/>
      <c r="D87" s="237"/>
      <c r="E87" s="237"/>
      <c r="F87" s="237"/>
      <c r="G87" s="22"/>
      <c r="H87" s="23"/>
      <c r="I87" s="21"/>
      <c r="J87" s="21"/>
    </row>
    <row r="88" spans="2:10" x14ac:dyDescent="0.35">
      <c r="B88" s="238"/>
      <c r="C88" s="236"/>
      <c r="D88" s="237"/>
      <c r="E88" s="237"/>
      <c r="F88" s="237"/>
      <c r="G88" s="22"/>
      <c r="H88" s="23"/>
      <c r="I88" s="21"/>
      <c r="J88" s="21"/>
    </row>
    <row r="89" spans="2:10" x14ac:dyDescent="0.35">
      <c r="B89" s="238"/>
      <c r="C89" s="236"/>
      <c r="D89" s="237"/>
      <c r="E89" s="237"/>
      <c r="F89" s="237"/>
      <c r="G89" s="22"/>
      <c r="H89" s="23"/>
      <c r="I89" s="21"/>
      <c r="J89" s="21"/>
    </row>
    <row r="90" spans="2:10" x14ac:dyDescent="0.35">
      <c r="B90" s="238"/>
      <c r="C90" s="236"/>
      <c r="D90" s="237"/>
      <c r="E90" s="237"/>
      <c r="F90" s="237"/>
      <c r="G90" s="22"/>
      <c r="H90" s="23"/>
      <c r="I90" s="21"/>
      <c r="J90" s="21"/>
    </row>
    <row r="91" spans="2:10" x14ac:dyDescent="0.35">
      <c r="B91" s="238"/>
      <c r="C91" s="236"/>
      <c r="D91" s="237"/>
      <c r="E91" s="237"/>
      <c r="F91" s="237"/>
      <c r="G91" s="22"/>
      <c r="H91" s="23"/>
      <c r="I91" s="21"/>
      <c r="J91" s="21"/>
    </row>
    <row r="92" spans="2:10" x14ac:dyDescent="0.35">
      <c r="B92" s="238"/>
      <c r="C92" s="236"/>
      <c r="D92" s="237"/>
      <c r="E92" s="237"/>
      <c r="F92" s="237"/>
      <c r="G92" s="22"/>
      <c r="H92" s="23"/>
      <c r="I92" s="21"/>
      <c r="J92" s="21"/>
    </row>
    <row r="93" spans="2:10" x14ac:dyDescent="0.35">
      <c r="B93" s="238"/>
      <c r="C93" s="236"/>
      <c r="D93" s="237"/>
      <c r="E93" s="237"/>
      <c r="F93" s="237"/>
      <c r="G93" s="22"/>
      <c r="H93" s="23"/>
      <c r="I93" s="21"/>
      <c r="J93" s="21"/>
    </row>
    <row r="94" spans="2:10" x14ac:dyDescent="0.35">
      <c r="B94" s="238"/>
      <c r="C94" s="236"/>
      <c r="D94" s="237"/>
      <c r="E94" s="237"/>
      <c r="F94" s="237"/>
      <c r="G94" s="22"/>
      <c r="H94" s="23"/>
      <c r="I94" s="21"/>
      <c r="J94" s="21"/>
    </row>
    <row r="95" spans="2:10" x14ac:dyDescent="0.35">
      <c r="B95" s="238"/>
      <c r="C95" s="236"/>
      <c r="D95" s="237"/>
      <c r="E95" s="237"/>
      <c r="F95" s="237"/>
      <c r="G95" s="22"/>
      <c r="H95" s="23"/>
      <c r="I95" s="21"/>
      <c r="J95" s="21"/>
    </row>
    <row r="96" spans="2:10" x14ac:dyDescent="0.35">
      <c r="B96" s="238"/>
      <c r="C96" s="236"/>
      <c r="D96" s="237"/>
      <c r="E96" s="237"/>
      <c r="F96" s="237"/>
      <c r="G96" s="22"/>
      <c r="H96" s="23"/>
      <c r="I96" s="21"/>
      <c r="J96" s="21"/>
    </row>
    <row r="97" spans="2:10" x14ac:dyDescent="0.35">
      <c r="B97" s="238"/>
      <c r="C97" s="236"/>
      <c r="D97" s="237"/>
      <c r="E97" s="237"/>
      <c r="F97" s="237"/>
      <c r="G97" s="22"/>
      <c r="H97" s="23"/>
      <c r="I97" s="21"/>
      <c r="J97" s="21"/>
    </row>
    <row r="98" spans="2:10" x14ac:dyDescent="0.35">
      <c r="B98" s="238"/>
      <c r="C98" s="236"/>
      <c r="D98" s="237"/>
      <c r="E98" s="237"/>
      <c r="F98" s="237"/>
      <c r="G98" s="22"/>
      <c r="H98" s="23"/>
      <c r="I98" s="21"/>
      <c r="J98" s="21"/>
    </row>
    <row r="99" spans="2:10" x14ac:dyDescent="0.35">
      <c r="B99" s="238"/>
      <c r="C99" s="236"/>
      <c r="D99" s="237"/>
      <c r="E99" s="237"/>
      <c r="F99" s="237"/>
      <c r="G99" s="22"/>
      <c r="H99" s="23"/>
      <c r="I99" s="21"/>
      <c r="J99" s="21"/>
    </row>
    <row r="100" spans="2:10" x14ac:dyDescent="0.35">
      <c r="B100" s="238"/>
      <c r="C100" s="236"/>
      <c r="D100" s="237"/>
      <c r="E100" s="237"/>
      <c r="F100" s="237"/>
      <c r="G100" s="22"/>
      <c r="H100" s="23"/>
      <c r="I100" s="21"/>
      <c r="J100" s="21"/>
    </row>
    <row r="101" spans="2:10" x14ac:dyDescent="0.35">
      <c r="B101" s="238"/>
      <c r="C101" s="236"/>
      <c r="D101" s="237"/>
      <c r="E101" s="237"/>
      <c r="F101" s="237"/>
      <c r="G101" s="22"/>
      <c r="H101" s="23"/>
      <c r="I101" s="21"/>
      <c r="J101" s="21"/>
    </row>
    <row r="102" spans="2:10" x14ac:dyDescent="0.35">
      <c r="B102" s="238"/>
      <c r="C102" s="236"/>
      <c r="D102" s="237"/>
      <c r="E102" s="237"/>
      <c r="F102" s="237"/>
      <c r="G102" s="22"/>
      <c r="H102" s="23"/>
      <c r="I102" s="21"/>
      <c r="J102" s="21"/>
    </row>
    <row r="103" spans="2:10" x14ac:dyDescent="0.35">
      <c r="B103" s="238"/>
      <c r="C103" s="236"/>
      <c r="D103" s="237"/>
      <c r="E103" s="237"/>
      <c r="F103" s="237"/>
      <c r="G103" s="22"/>
      <c r="H103" s="23"/>
      <c r="I103" s="21"/>
      <c r="J103" s="21"/>
    </row>
    <row r="104" spans="2:10" x14ac:dyDescent="0.35">
      <c r="B104" s="238"/>
      <c r="C104" s="236"/>
      <c r="D104" s="237"/>
      <c r="E104" s="237"/>
      <c r="F104" s="237"/>
      <c r="G104" s="22"/>
      <c r="H104" s="23"/>
      <c r="I104" s="21"/>
      <c r="J104" s="21"/>
    </row>
    <row r="105" spans="2:10" x14ac:dyDescent="0.35">
      <c r="B105" s="238"/>
      <c r="C105" s="236"/>
      <c r="D105" s="237"/>
      <c r="E105" s="237"/>
      <c r="F105" s="237"/>
      <c r="G105" s="22"/>
      <c r="H105" s="23"/>
      <c r="I105" s="21"/>
      <c r="J105" s="21"/>
    </row>
    <row r="106" spans="2:10" x14ac:dyDescent="0.35">
      <c r="B106" s="238"/>
      <c r="C106" s="236"/>
      <c r="D106" s="237"/>
      <c r="E106" s="237"/>
      <c r="F106" s="237"/>
      <c r="G106" s="22"/>
      <c r="H106" s="23"/>
      <c r="I106" s="21"/>
      <c r="J106" s="21"/>
    </row>
    <row r="107" spans="2:10" x14ac:dyDescent="0.35">
      <c r="B107" s="238"/>
      <c r="C107" s="236"/>
      <c r="D107" s="237"/>
      <c r="E107" s="237"/>
      <c r="F107" s="237"/>
      <c r="G107" s="22"/>
      <c r="H107" s="23"/>
      <c r="I107" s="21"/>
      <c r="J107" s="21"/>
    </row>
    <row r="108" spans="2:10" x14ac:dyDescent="0.35">
      <c r="B108" s="238"/>
      <c r="C108" s="236"/>
      <c r="D108" s="237"/>
      <c r="E108" s="237"/>
      <c r="F108" s="237"/>
      <c r="G108" s="22"/>
      <c r="H108" s="23"/>
      <c r="I108" s="21"/>
      <c r="J108" s="21"/>
    </row>
    <row r="109" spans="2:10" x14ac:dyDescent="0.35">
      <c r="B109" s="238"/>
      <c r="C109" s="236"/>
      <c r="D109" s="237"/>
      <c r="E109" s="237"/>
      <c r="F109" s="237"/>
      <c r="G109" s="22"/>
      <c r="H109" s="23"/>
      <c r="I109" s="21"/>
      <c r="J109" s="21"/>
    </row>
    <row r="110" spans="2:10" x14ac:dyDescent="0.35">
      <c r="B110" s="238"/>
      <c r="C110" s="236"/>
      <c r="D110" s="237"/>
      <c r="E110" s="237"/>
      <c r="F110" s="237"/>
      <c r="G110" s="22"/>
      <c r="H110" s="23"/>
      <c r="I110" s="21"/>
      <c r="J110" s="21"/>
    </row>
    <row r="111" spans="2:10" x14ac:dyDescent="0.35">
      <c r="B111" s="238"/>
      <c r="C111" s="236"/>
      <c r="D111" s="237"/>
      <c r="E111" s="237"/>
      <c r="F111" s="237"/>
      <c r="G111" s="22"/>
      <c r="H111" s="23"/>
      <c r="I111" s="21"/>
      <c r="J111" s="21"/>
    </row>
    <row r="112" spans="2:10" x14ac:dyDescent="0.35">
      <c r="B112" s="238"/>
      <c r="C112" s="236"/>
      <c r="D112" s="237"/>
      <c r="E112" s="237"/>
      <c r="F112" s="237"/>
      <c r="G112" s="22"/>
      <c r="H112" s="23"/>
      <c r="I112" s="21"/>
      <c r="J112" s="21"/>
    </row>
    <row r="113" spans="2:10" x14ac:dyDescent="0.35">
      <c r="B113" s="238"/>
      <c r="C113" s="236"/>
      <c r="D113" s="237"/>
      <c r="E113" s="237"/>
      <c r="F113" s="237"/>
      <c r="G113" s="22"/>
      <c r="H113" s="23"/>
      <c r="I113" s="21"/>
      <c r="J113" s="21"/>
    </row>
    <row r="114" spans="2:10" x14ac:dyDescent="0.35">
      <c r="B114" s="238"/>
      <c r="C114" s="236"/>
      <c r="D114" s="237"/>
      <c r="E114" s="237"/>
      <c r="F114" s="237"/>
      <c r="G114" s="22"/>
      <c r="H114" s="23"/>
      <c r="I114" s="21"/>
      <c r="J114" s="21"/>
    </row>
    <row r="115" spans="2:10" x14ac:dyDescent="0.35">
      <c r="B115" s="238"/>
      <c r="C115" s="236"/>
      <c r="D115" s="237"/>
      <c r="E115" s="237"/>
      <c r="F115" s="237"/>
      <c r="G115" s="22"/>
      <c r="H115" s="23"/>
      <c r="I115" s="21"/>
      <c r="J115" s="21"/>
    </row>
    <row r="116" spans="2:10" x14ac:dyDescent="0.35">
      <c r="B116" s="238"/>
      <c r="C116" s="236"/>
      <c r="D116" s="237"/>
      <c r="E116" s="237"/>
      <c r="F116" s="237"/>
      <c r="G116" s="22"/>
      <c r="H116" s="23"/>
      <c r="I116" s="21"/>
      <c r="J116" s="21"/>
    </row>
    <row r="117" spans="2:10" x14ac:dyDescent="0.35">
      <c r="B117" s="238"/>
      <c r="C117" s="236"/>
      <c r="D117" s="237"/>
      <c r="E117" s="237"/>
      <c r="F117" s="237"/>
      <c r="G117" s="22"/>
      <c r="H117" s="23"/>
      <c r="I117" s="21"/>
      <c r="J117" s="21"/>
    </row>
    <row r="118" spans="2:10" x14ac:dyDescent="0.35">
      <c r="B118" s="238"/>
      <c r="C118" s="236"/>
      <c r="D118" s="237"/>
      <c r="E118" s="237"/>
      <c r="F118" s="237"/>
      <c r="G118" s="22"/>
      <c r="H118" s="23"/>
      <c r="I118" s="21"/>
      <c r="J118" s="21"/>
    </row>
    <row r="119" spans="2:10" x14ac:dyDescent="0.35">
      <c r="B119" s="238"/>
      <c r="C119" s="236"/>
      <c r="D119" s="237"/>
      <c r="E119" s="237"/>
      <c r="F119" s="237"/>
      <c r="G119" s="164"/>
      <c r="H119" s="102"/>
      <c r="I119" s="21"/>
      <c r="J119" s="21"/>
    </row>
    <row r="120" spans="2:10" ht="18" x14ac:dyDescent="0.4">
      <c r="B120" s="306" t="s">
        <v>982</v>
      </c>
      <c r="C120" s="236"/>
      <c r="D120" s="237"/>
      <c r="E120" s="237"/>
      <c r="F120" s="237"/>
      <c r="G120" s="164"/>
      <c r="H120" s="23"/>
      <c r="I120" s="21"/>
      <c r="J120" s="21"/>
    </row>
    <row r="121" spans="2:10" ht="16" thickBot="1" x14ac:dyDescent="0.4">
      <c r="C121" s="239" t="s">
        <v>2</v>
      </c>
      <c r="D121" s="237"/>
      <c r="E121" s="237"/>
      <c r="F121" s="237"/>
      <c r="G121" s="22"/>
      <c r="H121" s="23"/>
      <c r="I121" s="21"/>
      <c r="J121" s="21"/>
    </row>
    <row r="122" spans="2:10" x14ac:dyDescent="0.35">
      <c r="B122" s="238" t="s">
        <v>805</v>
      </c>
      <c r="C122" s="308">
        <v>17</v>
      </c>
      <c r="D122" s="237"/>
      <c r="E122" s="237"/>
      <c r="F122" s="237"/>
      <c r="G122" s="22"/>
      <c r="H122" s="23"/>
      <c r="I122" s="21"/>
      <c r="J122" s="21"/>
    </row>
    <row r="123" spans="2:10" x14ac:dyDescent="0.35">
      <c r="B123" s="238" t="s">
        <v>663</v>
      </c>
      <c r="C123" s="309">
        <v>180</v>
      </c>
      <c r="D123" s="237" t="s">
        <v>8</v>
      </c>
      <c r="E123" s="237"/>
      <c r="F123" s="237"/>
      <c r="G123" s="22"/>
      <c r="H123" s="23"/>
      <c r="I123" s="21"/>
      <c r="J123" s="21"/>
    </row>
    <row r="124" spans="2:10" x14ac:dyDescent="0.35">
      <c r="B124" s="238" t="s">
        <v>806</v>
      </c>
      <c r="C124" s="309">
        <v>200</v>
      </c>
      <c r="D124" s="237" t="s">
        <v>28</v>
      </c>
      <c r="E124" s="237"/>
      <c r="F124" s="237"/>
      <c r="G124" s="22"/>
      <c r="H124" s="23"/>
      <c r="I124" s="21"/>
      <c r="J124" s="21"/>
    </row>
    <row r="125" spans="2:10" ht="16" thickBot="1" x14ac:dyDescent="0.4">
      <c r="B125" s="238" t="s">
        <v>546</v>
      </c>
      <c r="C125" s="310">
        <v>900</v>
      </c>
      <c r="D125" s="237" t="s">
        <v>76</v>
      </c>
      <c r="E125" s="237"/>
      <c r="F125" s="237"/>
      <c r="G125" s="22"/>
      <c r="H125" s="23"/>
      <c r="I125" s="21"/>
      <c r="J125" s="21"/>
    </row>
    <row r="126" spans="2:10" x14ac:dyDescent="0.35">
      <c r="B126" s="240"/>
      <c r="C126" s="239" t="s">
        <v>3</v>
      </c>
      <c r="D126" s="241"/>
      <c r="E126" s="237"/>
      <c r="F126" s="237"/>
      <c r="G126" s="22"/>
      <c r="H126" s="23"/>
      <c r="I126" s="21"/>
      <c r="J126" s="36"/>
    </row>
    <row r="127" spans="2:10" x14ac:dyDescent="0.35">
      <c r="B127" s="242" t="s">
        <v>737</v>
      </c>
      <c r="C127" s="243">
        <v>1</v>
      </c>
      <c r="D127" s="244"/>
      <c r="E127" s="237"/>
      <c r="F127" s="237"/>
      <c r="G127" s="22"/>
      <c r="H127" s="23"/>
      <c r="I127" s="21"/>
      <c r="J127" s="245"/>
    </row>
    <row r="128" spans="2:10" x14ac:dyDescent="0.35">
      <c r="B128" s="242" t="s">
        <v>738</v>
      </c>
      <c r="C128" s="246">
        <v>0.71699999999999997</v>
      </c>
      <c r="D128" s="16"/>
      <c r="E128" s="237"/>
      <c r="F128" s="237"/>
      <c r="G128" s="164"/>
      <c r="H128" s="23"/>
      <c r="I128" s="21"/>
      <c r="J128" s="21"/>
    </row>
    <row r="129" spans="2:10" x14ac:dyDescent="0.35">
      <c r="B129" s="242" t="s">
        <v>736</v>
      </c>
      <c r="C129" s="11">
        <v>0.28699999999999998</v>
      </c>
      <c r="D129" s="16"/>
      <c r="E129" s="237"/>
      <c r="F129" s="237"/>
      <c r="G129" s="164"/>
      <c r="H129" s="23"/>
      <c r="I129" s="21"/>
      <c r="J129" s="21"/>
    </row>
    <row r="130" spans="2:10" x14ac:dyDescent="0.35">
      <c r="B130" s="242" t="s">
        <v>669</v>
      </c>
      <c r="C130" s="11" t="s">
        <v>670</v>
      </c>
      <c r="D130" s="16"/>
      <c r="E130" s="237"/>
      <c r="F130" s="237"/>
      <c r="G130" s="164"/>
      <c r="H130" s="23"/>
      <c r="I130" s="21"/>
      <c r="J130" s="21"/>
    </row>
    <row r="131" spans="2:10" x14ac:dyDescent="0.35">
      <c r="B131" s="242" t="s">
        <v>4</v>
      </c>
      <c r="C131" s="11">
        <f>C123+273</f>
        <v>453</v>
      </c>
      <c r="D131" s="16" t="s">
        <v>10</v>
      </c>
      <c r="E131" s="237"/>
      <c r="F131" s="237"/>
      <c r="G131" s="164"/>
      <c r="H131" s="23"/>
      <c r="I131" s="21"/>
      <c r="J131" s="21"/>
    </row>
    <row r="132" spans="2:10" x14ac:dyDescent="0.35">
      <c r="B132" s="242" t="s">
        <v>706</v>
      </c>
      <c r="C132" s="11" t="s">
        <v>698</v>
      </c>
      <c r="D132" s="16"/>
      <c r="E132" s="237"/>
      <c r="F132" s="237"/>
      <c r="G132" s="22"/>
      <c r="H132" s="23"/>
      <c r="I132" s="21"/>
      <c r="J132" s="21"/>
    </row>
    <row r="133" spans="2:10" x14ac:dyDescent="0.35">
      <c r="B133" s="242" t="s">
        <v>4</v>
      </c>
      <c r="C133" s="247">
        <f>C129*C131/C124</f>
        <v>0.65005499999999994</v>
      </c>
      <c r="D133" s="16" t="s">
        <v>75</v>
      </c>
      <c r="E133" s="237"/>
      <c r="F133" s="237"/>
      <c r="G133" s="22"/>
      <c r="H133" s="23"/>
      <c r="I133" s="21"/>
      <c r="J133" s="21"/>
    </row>
    <row r="134" spans="2:10" x14ac:dyDescent="0.35">
      <c r="B134" s="242" t="s">
        <v>707</v>
      </c>
      <c r="C134" s="11" t="s">
        <v>708</v>
      </c>
      <c r="D134" s="16"/>
      <c r="E134" s="237"/>
      <c r="F134" s="237"/>
      <c r="G134" s="22"/>
      <c r="H134" s="23"/>
      <c r="I134" s="21"/>
      <c r="J134" s="21"/>
    </row>
    <row r="135" spans="2:10" x14ac:dyDescent="0.35">
      <c r="B135" s="242" t="s">
        <v>4</v>
      </c>
      <c r="C135" s="248">
        <f>C133/18</f>
        <v>3.6114166666666662E-2</v>
      </c>
      <c r="D135" s="16" t="s">
        <v>75</v>
      </c>
      <c r="E135" s="237"/>
      <c r="F135" s="237"/>
      <c r="G135" s="22"/>
      <c r="H135" s="23"/>
      <c r="I135" s="21"/>
      <c r="J135" s="21"/>
    </row>
    <row r="136" spans="2:10" x14ac:dyDescent="0.35">
      <c r="B136" s="11" t="s">
        <v>703</v>
      </c>
      <c r="C136" s="11"/>
      <c r="D136" s="16"/>
      <c r="E136" s="237"/>
      <c r="F136" s="237"/>
      <c r="G136" s="22"/>
      <c r="H136" s="23"/>
      <c r="I136" s="21"/>
      <c r="J136" s="21"/>
    </row>
    <row r="137" spans="2:10" x14ac:dyDescent="0.35">
      <c r="B137" s="242" t="s">
        <v>77</v>
      </c>
      <c r="C137" s="249">
        <v>1.4</v>
      </c>
      <c r="D137" s="16"/>
      <c r="E137" s="237"/>
      <c r="F137" s="237"/>
      <c r="G137" s="22"/>
      <c r="H137" s="23"/>
      <c r="I137" s="21"/>
      <c r="J137" s="21"/>
    </row>
    <row r="138" spans="2:10" x14ac:dyDescent="0.35">
      <c r="B138" s="242" t="s">
        <v>704</v>
      </c>
      <c r="C138" s="11" t="s">
        <v>705</v>
      </c>
      <c r="D138" s="16"/>
      <c r="E138" s="237"/>
      <c r="F138" s="237"/>
      <c r="G138" s="22"/>
      <c r="H138" s="23"/>
      <c r="I138" s="21"/>
      <c r="J138" s="21"/>
    </row>
    <row r="139" spans="2:10" x14ac:dyDescent="0.35">
      <c r="B139" s="242" t="s">
        <v>4</v>
      </c>
      <c r="C139" s="250">
        <f>C131*(C133/C135)^(C137-1)</f>
        <v>1439.4851999853356</v>
      </c>
      <c r="D139" s="16" t="s">
        <v>10</v>
      </c>
      <c r="E139" s="237"/>
      <c r="F139" s="237"/>
      <c r="G139" s="22"/>
      <c r="H139" s="23"/>
      <c r="I139" s="21"/>
      <c r="J139" s="21"/>
    </row>
    <row r="140" spans="2:10" x14ac:dyDescent="0.35">
      <c r="B140" s="242" t="s">
        <v>709</v>
      </c>
      <c r="C140" s="11" t="s">
        <v>713</v>
      </c>
      <c r="D140" s="16"/>
      <c r="E140" s="237"/>
      <c r="F140" s="237"/>
      <c r="G140" s="22"/>
      <c r="H140" s="23"/>
      <c r="I140" s="21"/>
      <c r="J140" s="21"/>
    </row>
    <row r="141" spans="2:10" x14ac:dyDescent="0.35">
      <c r="B141" s="242" t="s">
        <v>4</v>
      </c>
      <c r="C141" s="250">
        <f>C124*(C133/C135)^C137</f>
        <v>11439.617483327167</v>
      </c>
      <c r="D141" s="16" t="s">
        <v>78</v>
      </c>
      <c r="E141" s="237"/>
      <c r="F141" s="237"/>
      <c r="G141" s="22"/>
      <c r="H141" s="23"/>
      <c r="I141" s="21"/>
      <c r="J141" s="21"/>
    </row>
    <row r="142" spans="2:10" x14ac:dyDescent="0.35">
      <c r="B142" s="242" t="s">
        <v>4</v>
      </c>
      <c r="C142" s="249">
        <f>C141/1000</f>
        <v>11.439617483327167</v>
      </c>
      <c r="D142" s="16" t="s">
        <v>79</v>
      </c>
      <c r="E142" s="237"/>
      <c r="F142" s="237"/>
      <c r="G142" s="22"/>
      <c r="H142" s="23"/>
      <c r="I142" s="21"/>
      <c r="J142" s="21"/>
    </row>
    <row r="143" spans="2:10" x14ac:dyDescent="0.35">
      <c r="B143" s="11" t="s">
        <v>720</v>
      </c>
      <c r="C143" s="11"/>
      <c r="D143" s="16"/>
      <c r="E143" s="237"/>
      <c r="F143" s="237"/>
      <c r="G143" s="22"/>
      <c r="H143" s="23"/>
      <c r="I143" s="21"/>
      <c r="J143" s="21"/>
    </row>
    <row r="144" spans="2:10" x14ac:dyDescent="0.35">
      <c r="B144" s="242" t="s">
        <v>690</v>
      </c>
      <c r="C144" s="11" t="s">
        <v>710</v>
      </c>
      <c r="D144" s="16"/>
      <c r="E144" s="237"/>
      <c r="F144" s="237"/>
      <c r="G144" s="22"/>
      <c r="H144" s="23"/>
      <c r="I144" s="21"/>
      <c r="J144" s="21"/>
    </row>
    <row r="145" spans="2:10" x14ac:dyDescent="0.35">
      <c r="B145" s="242" t="s">
        <v>715</v>
      </c>
      <c r="C145" s="11" t="s">
        <v>739</v>
      </c>
      <c r="D145" s="16"/>
      <c r="E145" s="237"/>
      <c r="F145" s="237"/>
      <c r="G145" s="22"/>
      <c r="H145" s="23"/>
      <c r="I145" s="21"/>
      <c r="J145" s="21"/>
    </row>
    <row r="146" spans="2:10" x14ac:dyDescent="0.35">
      <c r="B146" s="242" t="s">
        <v>741</v>
      </c>
      <c r="C146" s="11" t="s">
        <v>740</v>
      </c>
      <c r="D146" s="16"/>
      <c r="E146" s="237"/>
      <c r="F146" s="237"/>
      <c r="G146" s="22"/>
      <c r="H146" s="23"/>
      <c r="I146" s="21"/>
      <c r="J146" s="21"/>
    </row>
    <row r="147" spans="2:10" x14ac:dyDescent="0.35">
      <c r="B147" s="242" t="s">
        <v>741</v>
      </c>
      <c r="C147" s="247">
        <f>(1 /C133)^(C137-1)</f>
        <v>1.1880096237591504</v>
      </c>
      <c r="D147" s="237"/>
      <c r="E147" s="237"/>
      <c r="F147" s="237"/>
      <c r="G147" s="22"/>
      <c r="H147" s="23"/>
      <c r="I147" s="21"/>
      <c r="J147" s="21"/>
    </row>
    <row r="148" spans="2:10" x14ac:dyDescent="0.35">
      <c r="B148" s="242" t="s">
        <v>716</v>
      </c>
      <c r="C148" s="247">
        <f>C147</f>
        <v>1.1880096237591504</v>
      </c>
      <c r="D148" s="237"/>
      <c r="E148" s="237"/>
      <c r="F148" s="237"/>
      <c r="G148" s="22"/>
      <c r="H148" s="23"/>
      <c r="I148" s="21"/>
      <c r="J148" s="21"/>
    </row>
    <row r="149" spans="2:10" x14ac:dyDescent="0.35">
      <c r="B149" s="242" t="s">
        <v>17</v>
      </c>
      <c r="C149" s="11" t="s">
        <v>742</v>
      </c>
      <c r="D149" s="15" t="s">
        <v>729</v>
      </c>
      <c r="E149" s="237"/>
      <c r="F149" s="237"/>
      <c r="G149" s="22"/>
      <c r="H149" s="23"/>
      <c r="I149" s="21"/>
      <c r="J149" s="21"/>
    </row>
    <row r="150" spans="2:10" x14ac:dyDescent="0.35">
      <c r="B150" s="11" t="s">
        <v>721</v>
      </c>
      <c r="C150" s="11"/>
      <c r="D150" s="251"/>
      <c r="E150" s="237"/>
      <c r="F150" s="237"/>
      <c r="G150" s="14"/>
      <c r="H150" s="13"/>
      <c r="I150" s="21"/>
      <c r="J150" s="21"/>
    </row>
    <row r="151" spans="2:10" x14ac:dyDescent="0.35">
      <c r="B151" s="242" t="s">
        <v>714</v>
      </c>
      <c r="C151" s="11" t="s">
        <v>711</v>
      </c>
      <c r="D151" s="251"/>
      <c r="E151" s="237"/>
      <c r="F151" s="252"/>
      <c r="G151" s="22"/>
      <c r="H151" s="23"/>
      <c r="I151" s="21"/>
      <c r="J151" s="21"/>
    </row>
    <row r="152" spans="2:10" x14ac:dyDescent="0.35">
      <c r="B152" s="242" t="s">
        <v>714</v>
      </c>
      <c r="C152" s="250">
        <f>C139/C135</f>
        <v>39859.294366993629</v>
      </c>
      <c r="D152" s="251"/>
      <c r="E152" s="237"/>
      <c r="F152" s="237"/>
      <c r="G152" s="22"/>
      <c r="H152" s="23"/>
      <c r="I152" s="21"/>
      <c r="J152" s="21"/>
    </row>
    <row r="153" spans="2:10" x14ac:dyDescent="0.35">
      <c r="B153" s="242" t="s">
        <v>717</v>
      </c>
      <c r="C153" s="250">
        <f>C152</f>
        <v>39859.294366993629</v>
      </c>
      <c r="D153" s="251"/>
      <c r="E153" s="237"/>
      <c r="F153" s="237"/>
      <c r="G153" s="22"/>
      <c r="H153" s="23"/>
      <c r="I153" s="21"/>
      <c r="J153" s="21"/>
    </row>
    <row r="154" spans="2:10" x14ac:dyDescent="0.35">
      <c r="B154" s="242" t="s">
        <v>17</v>
      </c>
      <c r="C154" s="11" t="s">
        <v>718</v>
      </c>
      <c r="D154" s="15" t="s">
        <v>730</v>
      </c>
      <c r="E154" s="237"/>
      <c r="F154" s="237"/>
      <c r="G154" s="22"/>
      <c r="H154" s="23"/>
      <c r="I154" s="21"/>
      <c r="J154" s="21"/>
    </row>
    <row r="155" spans="2:10" x14ac:dyDescent="0.35">
      <c r="B155" s="11" t="s">
        <v>743</v>
      </c>
      <c r="C155" s="236"/>
      <c r="D155" s="237"/>
      <c r="E155" s="237"/>
      <c r="F155" s="237"/>
      <c r="G155" s="22"/>
      <c r="H155" s="23"/>
      <c r="I155" s="21"/>
      <c r="J155" s="21"/>
    </row>
    <row r="156" spans="2:10" ht="17.5" x14ac:dyDescent="0.45">
      <c r="B156" s="242" t="s">
        <v>80</v>
      </c>
      <c r="C156" s="11" t="s">
        <v>972</v>
      </c>
      <c r="D156" s="16"/>
      <c r="E156" s="237"/>
      <c r="F156" s="237"/>
      <c r="G156" s="22"/>
      <c r="H156" s="23"/>
      <c r="I156" s="21"/>
      <c r="J156" s="21"/>
    </row>
    <row r="157" spans="2:10" x14ac:dyDescent="0.35">
      <c r="B157" s="242" t="s">
        <v>5</v>
      </c>
      <c r="C157" s="11" t="s">
        <v>712</v>
      </c>
      <c r="D157" s="16"/>
      <c r="E157" s="237"/>
      <c r="F157" s="237"/>
      <c r="G157" s="22"/>
      <c r="H157" s="23"/>
      <c r="I157" s="21"/>
      <c r="J157" s="21"/>
    </row>
    <row r="158" spans="2:10" x14ac:dyDescent="0.35">
      <c r="B158" s="242" t="s">
        <v>722</v>
      </c>
      <c r="C158" s="11" t="s">
        <v>724</v>
      </c>
      <c r="D158" s="237"/>
      <c r="E158" s="237"/>
      <c r="F158" s="237"/>
      <c r="G158" s="22"/>
      <c r="H158" s="23"/>
      <c r="I158" s="21"/>
      <c r="J158" s="21"/>
    </row>
    <row r="159" spans="2:10" x14ac:dyDescent="0.35">
      <c r="B159" s="242" t="s">
        <v>723</v>
      </c>
      <c r="C159" s="11" t="s">
        <v>766</v>
      </c>
      <c r="D159" s="16"/>
      <c r="E159" s="237"/>
      <c r="F159" s="237"/>
      <c r="G159" s="22"/>
      <c r="H159" s="23"/>
      <c r="I159" s="21"/>
      <c r="J159" s="21"/>
    </row>
    <row r="160" spans="2:10" x14ac:dyDescent="0.35">
      <c r="B160" s="242" t="s">
        <v>725</v>
      </c>
      <c r="C160" s="11" t="s">
        <v>726</v>
      </c>
      <c r="D160" s="237"/>
      <c r="E160" s="237"/>
      <c r="F160" s="237"/>
      <c r="G160" s="22"/>
      <c r="H160" s="23"/>
      <c r="I160" s="21"/>
      <c r="J160" s="21"/>
    </row>
    <row r="161" spans="2:12" x14ac:dyDescent="0.35">
      <c r="B161" s="242" t="s">
        <v>727</v>
      </c>
      <c r="C161" s="11" t="s">
        <v>765</v>
      </c>
      <c r="D161" s="16"/>
      <c r="E161" s="237"/>
      <c r="F161" s="238"/>
      <c r="G161" s="22"/>
      <c r="H161" s="23"/>
      <c r="I161" s="21"/>
      <c r="J161" s="21"/>
    </row>
    <row r="162" spans="2:12" x14ac:dyDescent="0.35">
      <c r="B162" s="242" t="s">
        <v>719</v>
      </c>
      <c r="C162" s="250">
        <f>C125/C128 + C137*C139 - C131</f>
        <v>2817.5094055024824</v>
      </c>
      <c r="D162" s="237"/>
      <c r="E162" s="237"/>
      <c r="F162" s="238"/>
      <c r="G162" s="22"/>
      <c r="H162" s="23"/>
      <c r="I162" s="21"/>
      <c r="J162" s="21"/>
    </row>
    <row r="163" spans="2:12" x14ac:dyDescent="0.35">
      <c r="B163" s="242" t="s">
        <v>728</v>
      </c>
      <c r="C163" s="250">
        <f>C162</f>
        <v>2817.5094055024824</v>
      </c>
      <c r="D163" s="16"/>
      <c r="E163" s="237"/>
      <c r="F163" s="238"/>
      <c r="G163" s="22"/>
      <c r="H163" s="23"/>
      <c r="I163" s="21"/>
      <c r="J163" s="21"/>
    </row>
    <row r="164" spans="2:12" x14ac:dyDescent="0.35">
      <c r="B164" s="242" t="s">
        <v>17</v>
      </c>
      <c r="C164" s="11" t="s">
        <v>744</v>
      </c>
      <c r="D164" s="15" t="s">
        <v>731</v>
      </c>
      <c r="E164" s="237"/>
      <c r="F164" s="237"/>
      <c r="G164" s="22"/>
      <c r="H164" s="23"/>
      <c r="I164" s="21"/>
      <c r="J164" s="21"/>
    </row>
    <row r="165" spans="2:12" x14ac:dyDescent="0.35">
      <c r="B165" s="238"/>
      <c r="C165" s="236"/>
      <c r="D165" s="251"/>
      <c r="E165" s="237"/>
      <c r="F165" s="237"/>
      <c r="G165" s="22"/>
      <c r="H165" s="23"/>
      <c r="I165" s="21"/>
      <c r="J165" s="21"/>
    </row>
    <row r="166" spans="2:12" x14ac:dyDescent="0.35">
      <c r="B166" s="11" t="s">
        <v>796</v>
      </c>
      <c r="C166" s="236"/>
      <c r="D166" s="251"/>
      <c r="E166" s="237"/>
      <c r="F166" s="237"/>
      <c r="G166" s="22"/>
      <c r="H166" s="23"/>
      <c r="I166" s="21"/>
      <c r="J166" s="21"/>
    </row>
    <row r="167" spans="2:12" x14ac:dyDescent="0.35">
      <c r="B167" s="11" t="s">
        <v>771</v>
      </c>
      <c r="C167" s="236"/>
      <c r="D167" s="251"/>
      <c r="E167" s="237"/>
      <c r="F167" s="237"/>
      <c r="G167" s="22"/>
      <c r="H167" s="23"/>
      <c r="I167" s="21"/>
      <c r="J167" s="21"/>
    </row>
    <row r="168" spans="2:12" x14ac:dyDescent="0.35">
      <c r="B168" s="242" t="s">
        <v>17</v>
      </c>
      <c r="C168" s="11" t="s">
        <v>742</v>
      </c>
      <c r="D168" s="253" t="s">
        <v>729</v>
      </c>
      <c r="E168" s="237"/>
      <c r="F168" s="237"/>
      <c r="G168" s="22"/>
      <c r="H168" s="13"/>
      <c r="I168" s="21"/>
      <c r="J168" s="21"/>
    </row>
    <row r="169" spans="2:12" x14ac:dyDescent="0.35">
      <c r="B169" s="254" t="s">
        <v>17</v>
      </c>
      <c r="C169" s="246" t="s">
        <v>718</v>
      </c>
      <c r="D169" s="253" t="s">
        <v>730</v>
      </c>
      <c r="E169" s="237"/>
      <c r="F169" s="237"/>
      <c r="G169" s="22"/>
      <c r="H169" s="23"/>
      <c r="I169" s="21"/>
      <c r="J169" s="21"/>
    </row>
    <row r="170" spans="2:12" x14ac:dyDescent="0.35">
      <c r="B170" s="242" t="s">
        <v>17</v>
      </c>
      <c r="C170" s="11" t="s">
        <v>744</v>
      </c>
      <c r="D170" s="253" t="s">
        <v>731</v>
      </c>
      <c r="E170" s="237"/>
      <c r="F170" s="237"/>
      <c r="G170" s="22"/>
      <c r="H170" s="13"/>
      <c r="I170" s="21"/>
      <c r="J170" s="21"/>
    </row>
    <row r="171" spans="2:12" x14ac:dyDescent="0.35">
      <c r="B171" s="238"/>
      <c r="C171" s="236"/>
      <c r="D171" s="251"/>
      <c r="E171" s="237"/>
      <c r="F171" s="237"/>
      <c r="G171" s="22"/>
      <c r="H171" s="23"/>
      <c r="I171" s="21"/>
      <c r="J171" s="21"/>
    </row>
    <row r="172" spans="2:12" x14ac:dyDescent="0.35">
      <c r="B172" s="242" t="s">
        <v>689</v>
      </c>
      <c r="C172" s="11" t="s">
        <v>754</v>
      </c>
      <c r="D172" s="253" t="s">
        <v>730</v>
      </c>
      <c r="E172" s="237"/>
      <c r="F172" s="237"/>
      <c r="G172" s="22"/>
      <c r="H172" s="13"/>
      <c r="I172" s="21"/>
      <c r="J172" s="21"/>
    </row>
    <row r="173" spans="2:12" x14ac:dyDescent="0.35">
      <c r="B173" s="242"/>
      <c r="C173" s="11"/>
      <c r="D173" s="251"/>
      <c r="E173" s="237"/>
      <c r="F173" s="237"/>
      <c r="G173" s="22"/>
      <c r="H173" s="23"/>
      <c r="I173" s="14"/>
      <c r="J173" s="13"/>
    </row>
    <row r="174" spans="2:12" x14ac:dyDescent="0.35">
      <c r="B174" s="242" t="s">
        <v>690</v>
      </c>
      <c r="C174" s="11" t="s">
        <v>755</v>
      </c>
      <c r="D174" s="253" t="s">
        <v>731</v>
      </c>
      <c r="E174" s="237"/>
      <c r="F174" s="237"/>
      <c r="G174" s="22"/>
      <c r="H174" s="23"/>
      <c r="I174" s="14"/>
      <c r="J174" s="13"/>
      <c r="L174" s="27"/>
    </row>
    <row r="175" spans="2:12" x14ac:dyDescent="0.35">
      <c r="B175" s="242" t="s">
        <v>689</v>
      </c>
      <c r="C175" s="11" t="s">
        <v>756</v>
      </c>
      <c r="D175" s="253" t="s">
        <v>729</v>
      </c>
      <c r="E175" s="237"/>
      <c r="F175" s="237"/>
      <c r="G175" s="22"/>
      <c r="H175" s="23"/>
      <c r="I175" s="14"/>
      <c r="J175" s="13"/>
      <c r="L175" s="27"/>
    </row>
    <row r="176" spans="2:12" x14ac:dyDescent="0.35">
      <c r="B176" s="238"/>
      <c r="C176" s="236"/>
      <c r="D176" s="237"/>
      <c r="E176" s="237"/>
      <c r="F176" s="237"/>
      <c r="G176" s="22"/>
      <c r="H176" s="177"/>
      <c r="I176" s="22"/>
      <c r="J176" s="23"/>
      <c r="L176" s="27"/>
    </row>
    <row r="177" spans="2:16" x14ac:dyDescent="0.35">
      <c r="B177" s="242" t="s">
        <v>17</v>
      </c>
      <c r="C177" s="11" t="s">
        <v>758</v>
      </c>
      <c r="D177" s="237"/>
      <c r="E177" s="244" t="s">
        <v>757</v>
      </c>
      <c r="F177" s="237"/>
      <c r="G177" s="22"/>
      <c r="H177" s="144"/>
      <c r="I177" s="22"/>
      <c r="J177" s="99"/>
      <c r="K177" s="20"/>
      <c r="N177" s="27"/>
      <c r="O177" s="25"/>
      <c r="P177" s="25"/>
    </row>
    <row r="178" spans="2:16" x14ac:dyDescent="0.35">
      <c r="B178" s="242" t="s">
        <v>763</v>
      </c>
      <c r="C178" s="11" t="s">
        <v>759</v>
      </c>
      <c r="D178" s="253" t="s">
        <v>753</v>
      </c>
      <c r="E178" s="237"/>
      <c r="F178" s="237"/>
      <c r="G178" s="22"/>
      <c r="H178" s="23"/>
      <c r="I178" s="14"/>
      <c r="J178" s="13"/>
      <c r="K178" s="2"/>
      <c r="N178" s="27"/>
      <c r="O178" s="159"/>
    </row>
    <row r="179" spans="2:16" x14ac:dyDescent="0.35">
      <c r="B179" s="238"/>
      <c r="C179" s="236"/>
      <c r="D179" s="251"/>
      <c r="E179" s="237"/>
      <c r="F179" s="237"/>
      <c r="G179" s="22"/>
      <c r="H179" s="23"/>
      <c r="I179" s="14"/>
      <c r="J179" s="148"/>
      <c r="K179" s="2"/>
      <c r="N179" s="27"/>
      <c r="O179" s="159"/>
    </row>
    <row r="180" spans="2:16" x14ac:dyDescent="0.35">
      <c r="B180" s="242" t="s">
        <v>17</v>
      </c>
      <c r="C180" s="11" t="s">
        <v>744</v>
      </c>
      <c r="D180" s="253" t="s">
        <v>731</v>
      </c>
      <c r="E180" s="237"/>
      <c r="F180" s="237"/>
      <c r="G180" s="22"/>
      <c r="H180" s="23"/>
      <c r="I180" s="14"/>
      <c r="J180" s="13"/>
      <c r="K180" s="2"/>
      <c r="N180" s="27"/>
      <c r="O180" s="159"/>
      <c r="P180" s="4"/>
    </row>
    <row r="181" spans="2:16" x14ac:dyDescent="0.35">
      <c r="B181" s="242" t="s">
        <v>690</v>
      </c>
      <c r="C181" s="11" t="s">
        <v>760</v>
      </c>
      <c r="D181" s="16"/>
      <c r="E181" s="237"/>
      <c r="F181" s="237"/>
      <c r="G181" s="22"/>
      <c r="H181" s="23"/>
      <c r="I181" s="14"/>
      <c r="J181" s="23"/>
      <c r="K181" s="20"/>
      <c r="N181" s="27"/>
      <c r="P181" s="4"/>
    </row>
    <row r="182" spans="2:16" x14ac:dyDescent="0.35">
      <c r="B182" s="242" t="s">
        <v>690</v>
      </c>
      <c r="C182" s="11" t="s">
        <v>761</v>
      </c>
      <c r="D182" s="244" t="s">
        <v>767</v>
      </c>
      <c r="E182" s="237"/>
      <c r="F182" s="237"/>
      <c r="G182" s="22"/>
      <c r="H182" s="23"/>
      <c r="I182" s="14"/>
      <c r="J182" s="140"/>
      <c r="K182" s="2"/>
      <c r="N182" s="27"/>
      <c r="O182" s="4"/>
      <c r="P182" s="4"/>
    </row>
    <row r="183" spans="2:16" x14ac:dyDescent="0.35">
      <c r="B183" s="238"/>
      <c r="C183" s="236"/>
      <c r="D183" s="237"/>
      <c r="E183" s="237"/>
      <c r="F183" s="237"/>
      <c r="G183" s="22"/>
      <c r="H183" s="23"/>
      <c r="I183" s="14"/>
      <c r="J183" s="148"/>
      <c r="K183" s="2"/>
      <c r="N183" s="27"/>
      <c r="O183" s="4"/>
      <c r="P183" s="93"/>
    </row>
    <row r="184" spans="2:16" x14ac:dyDescent="0.35">
      <c r="B184" s="242" t="s">
        <v>763</v>
      </c>
      <c r="C184" s="11" t="s">
        <v>761</v>
      </c>
      <c r="D184" s="237"/>
      <c r="E184" s="16" t="s">
        <v>764</v>
      </c>
      <c r="F184" s="237"/>
      <c r="G184" s="22"/>
      <c r="H184" s="23"/>
      <c r="I184" s="14"/>
      <c r="J184" s="148"/>
      <c r="K184" s="2"/>
      <c r="N184" s="27"/>
      <c r="O184" s="4"/>
    </row>
    <row r="185" spans="2:16" x14ac:dyDescent="0.35">
      <c r="B185" s="242" t="s">
        <v>17</v>
      </c>
      <c r="C185" s="11" t="s">
        <v>773</v>
      </c>
      <c r="D185" s="237"/>
      <c r="E185" s="237"/>
      <c r="F185" s="237"/>
      <c r="G185" s="22"/>
      <c r="H185" s="23"/>
      <c r="I185" s="22"/>
      <c r="J185" s="23"/>
      <c r="K185" s="15"/>
      <c r="N185" s="27"/>
    </row>
    <row r="186" spans="2:16" x14ac:dyDescent="0.35">
      <c r="B186" s="238"/>
      <c r="C186" s="236"/>
      <c r="D186" s="237"/>
      <c r="E186" s="237"/>
      <c r="F186" s="237"/>
      <c r="G186" s="22"/>
      <c r="H186" s="23"/>
      <c r="I186" s="22"/>
      <c r="J186" s="24"/>
      <c r="K186" s="2"/>
      <c r="L186" s="25"/>
      <c r="M186" s="15"/>
      <c r="N186" s="29"/>
      <c r="O186" s="27"/>
    </row>
    <row r="187" spans="2:16" ht="18" x14ac:dyDescent="0.4">
      <c r="B187" s="306" t="s">
        <v>981</v>
      </c>
      <c r="C187" s="236"/>
      <c r="D187" s="237"/>
      <c r="E187" s="237"/>
      <c r="F187" s="237"/>
      <c r="G187" s="22"/>
      <c r="H187" s="23"/>
      <c r="I187" s="14"/>
      <c r="J187" s="13"/>
      <c r="K187" s="25"/>
      <c r="L187" s="25"/>
      <c r="M187" s="25"/>
      <c r="N187" s="29"/>
      <c r="O187" s="27"/>
    </row>
    <row r="188" spans="2:16" x14ac:dyDescent="0.35">
      <c r="B188" s="11" t="s">
        <v>774</v>
      </c>
      <c r="C188" s="236"/>
      <c r="D188" s="237"/>
      <c r="E188" s="237"/>
      <c r="F188" s="237"/>
      <c r="G188" s="22"/>
      <c r="H188" s="23"/>
      <c r="I188" s="14"/>
      <c r="J188" s="13"/>
      <c r="K188" s="25"/>
      <c r="L188" s="25"/>
      <c r="M188" s="25"/>
      <c r="N188" s="29"/>
      <c r="O188" s="27"/>
    </row>
    <row r="189" spans="2:16" x14ac:dyDescent="0.35">
      <c r="B189" s="11" t="s">
        <v>780</v>
      </c>
      <c r="C189" s="236"/>
      <c r="D189" s="237"/>
      <c r="E189" s="237"/>
      <c r="F189" s="237"/>
      <c r="G189" s="22"/>
      <c r="H189" s="23"/>
      <c r="I189" s="14"/>
      <c r="J189" s="13"/>
      <c r="K189" s="25"/>
      <c r="L189" s="25"/>
      <c r="M189" s="25"/>
      <c r="N189" s="27"/>
    </row>
    <row r="190" spans="2:16" x14ac:dyDescent="0.35">
      <c r="B190" s="238"/>
      <c r="C190" s="236"/>
      <c r="D190" s="237"/>
      <c r="E190" s="237"/>
      <c r="F190" s="237"/>
      <c r="G190" s="22"/>
      <c r="H190" s="23"/>
      <c r="I190" s="22"/>
      <c r="J190" s="23"/>
      <c r="K190" s="20"/>
      <c r="N190" s="27"/>
    </row>
    <row r="191" spans="2:16" x14ac:dyDescent="0.35">
      <c r="B191" s="11" t="s">
        <v>775</v>
      </c>
      <c r="C191" s="236"/>
      <c r="D191" s="237"/>
      <c r="E191" s="237"/>
      <c r="F191" s="237"/>
      <c r="G191" s="22"/>
      <c r="H191" s="23"/>
      <c r="I191" s="22"/>
      <c r="J191" s="23"/>
      <c r="K191" s="15"/>
      <c r="N191" s="27"/>
    </row>
    <row r="192" spans="2:16" x14ac:dyDescent="0.35">
      <c r="B192" s="11"/>
      <c r="C192" s="236"/>
      <c r="D192" s="237"/>
      <c r="E192" s="237"/>
      <c r="F192" s="237"/>
      <c r="G192" s="22"/>
      <c r="H192" s="23"/>
      <c r="I192" s="22"/>
      <c r="J192" s="24"/>
      <c r="K192" s="2"/>
      <c r="L192" s="25"/>
      <c r="M192" s="15"/>
      <c r="N192" s="4"/>
    </row>
    <row r="193" spans="2:16" x14ac:dyDescent="0.35">
      <c r="B193" s="11" t="s">
        <v>797</v>
      </c>
      <c r="C193" s="236"/>
      <c r="D193" s="237"/>
      <c r="E193" s="237"/>
      <c r="F193" s="237"/>
      <c r="G193" s="22"/>
      <c r="H193" s="23"/>
      <c r="I193" s="14"/>
      <c r="J193" s="140"/>
      <c r="K193" s="25"/>
      <c r="L193" s="25"/>
      <c r="M193" s="229"/>
      <c r="N193" s="4"/>
      <c r="O193" s="142"/>
    </row>
    <row r="194" spans="2:16" x14ac:dyDescent="0.35">
      <c r="B194" s="11" t="s">
        <v>777</v>
      </c>
      <c r="C194" s="236"/>
      <c r="D194" s="237"/>
      <c r="E194" s="237"/>
      <c r="F194" s="237"/>
      <c r="G194" s="22"/>
      <c r="H194" s="23"/>
      <c r="I194" s="14"/>
      <c r="J194" s="148"/>
      <c r="K194" s="25"/>
      <c r="L194" s="25"/>
      <c r="M194" s="229"/>
      <c r="N194" s="4"/>
      <c r="O194" s="255"/>
    </row>
    <row r="195" spans="2:16" x14ac:dyDescent="0.35">
      <c r="B195" s="11" t="s">
        <v>778</v>
      </c>
      <c r="C195" s="236"/>
      <c r="D195" s="237"/>
      <c r="E195" s="237"/>
      <c r="F195" s="244"/>
      <c r="G195" s="22"/>
      <c r="H195" s="23"/>
      <c r="I195" s="14"/>
      <c r="J195" s="148"/>
      <c r="K195" s="25"/>
      <c r="L195" s="25"/>
      <c r="M195" s="200"/>
      <c r="N195" s="27"/>
      <c r="O195" s="255"/>
      <c r="P195" s="26"/>
    </row>
    <row r="196" spans="2:16" x14ac:dyDescent="0.35">
      <c r="B196" s="11" t="s">
        <v>779</v>
      </c>
      <c r="C196" s="236"/>
      <c r="D196" s="237"/>
      <c r="E196" s="237"/>
      <c r="F196" s="237"/>
      <c r="G196" s="22"/>
      <c r="H196" s="23"/>
      <c r="I196" s="22"/>
      <c r="J196" s="23"/>
      <c r="K196" s="20"/>
      <c r="N196" s="25"/>
      <c r="O196" s="25"/>
      <c r="P196" s="25"/>
    </row>
    <row r="197" spans="2:16" x14ac:dyDescent="0.35">
      <c r="B197" s="238"/>
      <c r="C197" s="236"/>
      <c r="D197" s="237"/>
      <c r="E197" s="237"/>
      <c r="F197" s="237"/>
      <c r="G197" s="22"/>
      <c r="H197" s="23"/>
      <c r="I197" s="22"/>
      <c r="J197" s="23"/>
      <c r="K197" s="20"/>
      <c r="N197" s="159"/>
    </row>
    <row r="198" spans="2:16" ht="16" thickBot="1" x14ac:dyDescent="0.4">
      <c r="B198" s="242" t="s">
        <v>17</v>
      </c>
      <c r="C198" s="11" t="s">
        <v>773</v>
      </c>
      <c r="D198" s="237"/>
      <c r="E198" s="237"/>
      <c r="F198" s="237"/>
      <c r="G198" s="22"/>
      <c r="H198" s="23"/>
      <c r="I198" s="22"/>
      <c r="J198" s="23"/>
      <c r="K198" s="20"/>
      <c r="N198" s="256"/>
      <c r="O198" s="25"/>
      <c r="P198" s="43"/>
    </row>
    <row r="199" spans="2:16" ht="16" thickBot="1" x14ac:dyDescent="0.4">
      <c r="B199" s="242" t="s">
        <v>17</v>
      </c>
      <c r="C199" s="311">
        <f>1.4*C203*C201 - C204 - C203*C202*C201^1.4</f>
        <v>1.9660169527924154E-6</v>
      </c>
      <c r="D199" s="237"/>
      <c r="E199" s="16" t="s">
        <v>776</v>
      </c>
      <c r="F199" s="237"/>
      <c r="G199" s="22"/>
      <c r="H199" s="23"/>
      <c r="I199" s="21"/>
      <c r="J199" s="21"/>
    </row>
    <row r="200" spans="2:16" ht="16" thickBot="1" x14ac:dyDescent="0.4">
      <c r="B200" s="11" t="s">
        <v>809</v>
      </c>
      <c r="C200" s="11"/>
      <c r="D200" s="16"/>
      <c r="E200" s="16"/>
      <c r="F200" s="237"/>
      <c r="G200" s="22"/>
      <c r="H200" s="23"/>
      <c r="I200" s="21"/>
      <c r="J200" s="21"/>
    </row>
    <row r="201" spans="2:16" ht="16" thickBot="1" x14ac:dyDescent="0.4">
      <c r="B201" s="258" t="s">
        <v>762</v>
      </c>
      <c r="C201" s="312">
        <v>7.1690308293431357E-2</v>
      </c>
      <c r="D201" s="260" t="s">
        <v>75</v>
      </c>
      <c r="E201" s="237"/>
      <c r="F201" s="237"/>
      <c r="G201" s="22"/>
      <c r="H201" s="23"/>
      <c r="I201" s="21"/>
      <c r="J201" s="21"/>
    </row>
    <row r="202" spans="2:16" x14ac:dyDescent="0.35">
      <c r="B202" s="242" t="s">
        <v>768</v>
      </c>
      <c r="C202" s="247">
        <f>$C$148</f>
        <v>1.1880096237591504</v>
      </c>
      <c r="D202" s="16"/>
      <c r="E202" s="237"/>
      <c r="F202" s="237"/>
      <c r="G202" s="22"/>
      <c r="H202" s="23"/>
      <c r="I202" s="21"/>
      <c r="J202" s="21"/>
    </row>
    <row r="203" spans="2:16" x14ac:dyDescent="0.35">
      <c r="B203" s="242" t="s">
        <v>769</v>
      </c>
      <c r="C203" s="250">
        <f>$C$153</f>
        <v>39859.294366993629</v>
      </c>
      <c r="D203" s="16"/>
      <c r="E203" s="237"/>
      <c r="F203" s="237"/>
      <c r="G203" s="22"/>
      <c r="H203" s="23"/>
      <c r="I203" s="21"/>
      <c r="J203" s="21"/>
    </row>
    <row r="204" spans="2:16" x14ac:dyDescent="0.35">
      <c r="B204" s="242" t="s">
        <v>770</v>
      </c>
      <c r="C204" s="250">
        <f>$C$163</f>
        <v>2817.5094055024824</v>
      </c>
      <c r="D204" s="16"/>
      <c r="E204" s="237"/>
      <c r="F204" s="237"/>
      <c r="G204" s="22"/>
      <c r="H204" s="23"/>
      <c r="I204" s="21"/>
      <c r="J204" s="21"/>
    </row>
    <row r="205" spans="2:16" x14ac:dyDescent="0.35">
      <c r="B205" s="238"/>
      <c r="C205" s="236"/>
      <c r="D205" s="16"/>
      <c r="E205" s="237"/>
      <c r="F205" s="237"/>
      <c r="G205" s="22"/>
      <c r="H205" s="23"/>
      <c r="I205" s="21"/>
      <c r="J205" s="21"/>
    </row>
    <row r="206" spans="2:16" x14ac:dyDescent="0.35">
      <c r="B206" s="242" t="s">
        <v>689</v>
      </c>
      <c r="C206" s="11" t="s">
        <v>754</v>
      </c>
      <c r="D206" s="244" t="s">
        <v>730</v>
      </c>
      <c r="E206" s="237"/>
      <c r="F206" s="237"/>
      <c r="G206" s="22"/>
      <c r="H206" s="23"/>
      <c r="I206" s="21"/>
      <c r="J206" s="21"/>
    </row>
    <row r="207" spans="2:16" ht="16" thickBot="1" x14ac:dyDescent="0.4">
      <c r="B207" s="261" t="s">
        <v>4</v>
      </c>
      <c r="C207" s="262">
        <f>$C$203*$C$201</f>
        <v>2857.5251015284052</v>
      </c>
      <c r="D207" s="260" t="s">
        <v>10</v>
      </c>
      <c r="E207" s="237"/>
      <c r="F207" s="237"/>
      <c r="G207" s="22"/>
      <c r="H207" s="23"/>
      <c r="I207" s="21"/>
      <c r="J207" s="21"/>
    </row>
    <row r="208" spans="2:16" x14ac:dyDescent="0.35">
      <c r="B208" s="238"/>
      <c r="C208" s="236"/>
      <c r="D208" s="16"/>
      <c r="E208" s="237"/>
      <c r="F208" s="237"/>
      <c r="G208" s="22"/>
      <c r="H208" s="23"/>
      <c r="I208" s="21"/>
      <c r="J208" s="21"/>
    </row>
    <row r="209" spans="2:10" x14ac:dyDescent="0.35">
      <c r="B209" s="242" t="s">
        <v>690</v>
      </c>
      <c r="C209" s="11" t="s">
        <v>755</v>
      </c>
      <c r="D209" s="244" t="s">
        <v>731</v>
      </c>
      <c r="E209" s="237"/>
      <c r="F209" s="244"/>
      <c r="G209" s="22"/>
      <c r="H209" s="23"/>
      <c r="I209" s="21"/>
      <c r="J209" s="21"/>
    </row>
    <row r="210" spans="2:10" ht="16" thickBot="1" x14ac:dyDescent="0.4">
      <c r="B210" s="261" t="s">
        <v>4</v>
      </c>
      <c r="C210" s="262">
        <f>$C$202*$C$207*$C$201^0.4</f>
        <v>1183.0257346712669</v>
      </c>
      <c r="D210" s="260" t="s">
        <v>10</v>
      </c>
      <c r="E210" s="237"/>
      <c r="F210" s="244"/>
      <c r="G210" s="22"/>
      <c r="H210" s="23"/>
      <c r="I210" s="21"/>
      <c r="J210" s="21"/>
    </row>
    <row r="211" spans="2:10" x14ac:dyDescent="0.35">
      <c r="B211" s="242"/>
      <c r="C211" s="11"/>
      <c r="D211" s="237"/>
      <c r="E211" s="237"/>
      <c r="F211" s="237"/>
      <c r="G211" s="22"/>
      <c r="H211" s="23"/>
      <c r="I211" s="21"/>
      <c r="J211" s="21"/>
    </row>
    <row r="212" spans="2:10" x14ac:dyDescent="0.35">
      <c r="B212" s="242" t="s">
        <v>810</v>
      </c>
      <c r="C212" s="11" t="s">
        <v>811</v>
      </c>
      <c r="D212" s="16"/>
      <c r="E212" s="16"/>
      <c r="F212" s="237"/>
      <c r="G212" s="22"/>
      <c r="H212" s="23"/>
      <c r="I212" s="21"/>
      <c r="J212" s="21"/>
    </row>
    <row r="213" spans="2:10" x14ac:dyDescent="0.35">
      <c r="B213" s="242" t="s">
        <v>4</v>
      </c>
      <c r="C213" s="264">
        <f>C201/C135</f>
        <v>1.9851021056399298</v>
      </c>
      <c r="D213" s="16"/>
      <c r="E213" s="16"/>
      <c r="F213" s="237"/>
      <c r="G213" s="22"/>
      <c r="H213" s="23"/>
      <c r="I213" s="21"/>
      <c r="J213" s="21"/>
    </row>
    <row r="214" spans="2:10" x14ac:dyDescent="0.35">
      <c r="B214" s="242" t="s">
        <v>812</v>
      </c>
      <c r="C214" s="11" t="s">
        <v>819</v>
      </c>
      <c r="D214" s="16"/>
      <c r="E214" s="16"/>
      <c r="F214" s="237"/>
      <c r="G214" s="22"/>
      <c r="H214" s="23"/>
      <c r="I214" s="21"/>
      <c r="J214" s="21"/>
    </row>
    <row r="215" spans="2:10" x14ac:dyDescent="0.35">
      <c r="B215" s="242" t="s">
        <v>4</v>
      </c>
      <c r="C215" s="265">
        <f>1-((1/(C122^(C137-1))*((C213^C137-1)/(C137*(C213-1)))))</f>
        <v>0.62377199782075987</v>
      </c>
      <c r="D215" s="16"/>
      <c r="E215" s="16"/>
      <c r="F215" s="237"/>
      <c r="G215" s="22"/>
      <c r="H215" s="23"/>
      <c r="I215" s="21"/>
      <c r="J215" s="21"/>
    </row>
    <row r="216" spans="2:10" x14ac:dyDescent="0.35">
      <c r="B216" s="242" t="s">
        <v>813</v>
      </c>
      <c r="C216" s="11" t="s">
        <v>697</v>
      </c>
      <c r="D216" s="237"/>
      <c r="E216" s="237"/>
      <c r="F216" s="237"/>
      <c r="G216" s="22"/>
      <c r="H216" s="23"/>
      <c r="I216" s="21"/>
      <c r="J216" s="21"/>
    </row>
    <row r="217" spans="2:10" x14ac:dyDescent="0.35">
      <c r="B217" s="242" t="s">
        <v>4</v>
      </c>
      <c r="C217" s="250">
        <f>C125 / (C133 - C135)</f>
        <v>1465.9393073979716</v>
      </c>
      <c r="D217" s="16" t="s">
        <v>28</v>
      </c>
      <c r="E217" s="237"/>
      <c r="F217" s="237"/>
      <c r="G217" s="22"/>
      <c r="H217" s="23"/>
      <c r="I217" s="21"/>
      <c r="J217" s="21"/>
    </row>
    <row r="218" spans="2:10" x14ac:dyDescent="0.35">
      <c r="B218" s="242" t="s">
        <v>818</v>
      </c>
      <c r="C218" s="11" t="s">
        <v>814</v>
      </c>
      <c r="D218" s="237"/>
      <c r="E218" s="237"/>
      <c r="F218" s="237"/>
      <c r="G218" s="22"/>
      <c r="H218" s="23"/>
      <c r="I218" s="21"/>
      <c r="J218" s="21"/>
    </row>
    <row r="219" spans="2:10" x14ac:dyDescent="0.35">
      <c r="B219" s="242" t="s">
        <v>4</v>
      </c>
      <c r="C219" s="249">
        <f>C133/C201</f>
        <v>9.0675436537292917</v>
      </c>
      <c r="D219" s="237"/>
      <c r="E219" s="237"/>
      <c r="F219" s="237"/>
      <c r="G219" s="22"/>
      <c r="H219" s="23"/>
      <c r="I219" s="21"/>
      <c r="J219" s="21"/>
    </row>
    <row r="220" spans="2:10" ht="16" thickBot="1" x14ac:dyDescent="0.4">
      <c r="B220" s="242" t="s">
        <v>816</v>
      </c>
      <c r="C220" s="11" t="s">
        <v>815</v>
      </c>
      <c r="D220" s="237"/>
      <c r="E220" s="237"/>
      <c r="F220" s="237"/>
      <c r="G220" s="22"/>
      <c r="H220" s="23"/>
      <c r="I220" s="21"/>
      <c r="J220" s="21"/>
    </row>
    <row r="221" spans="2:10" ht="16" thickBot="1" x14ac:dyDescent="0.4">
      <c r="B221" s="238" t="s">
        <v>4</v>
      </c>
      <c r="C221" s="379">
        <f>1 - (1 / (C219^(C137-1)))</f>
        <v>0.5859963805607511</v>
      </c>
      <c r="D221" s="237"/>
      <c r="E221" s="237"/>
      <c r="F221" s="237"/>
      <c r="G221" s="22"/>
      <c r="H221" s="23"/>
      <c r="I221" s="21"/>
      <c r="J221" s="21"/>
    </row>
    <row r="222" spans="2:10" x14ac:dyDescent="0.35">
      <c r="G222" s="22"/>
      <c r="H222" s="23"/>
      <c r="I222" s="21"/>
      <c r="J222" s="21"/>
    </row>
    <row r="223" spans="2:10" ht="18" x14ac:dyDescent="0.4">
      <c r="B223" s="44" t="s">
        <v>817</v>
      </c>
      <c r="G223" s="22"/>
      <c r="H223" s="23"/>
      <c r="I223" s="21"/>
      <c r="J223" s="21"/>
    </row>
    <row r="224" spans="2:10" x14ac:dyDescent="0.35">
      <c r="B224" s="37"/>
      <c r="C224" s="12"/>
      <c r="D224" s="132"/>
      <c r="E224" s="132"/>
      <c r="G224" s="22"/>
      <c r="H224" s="23"/>
      <c r="I224" s="21"/>
      <c r="J224" s="21"/>
    </row>
    <row r="225" spans="2:10" x14ac:dyDescent="0.35">
      <c r="B225" s="37"/>
      <c r="C225" s="12"/>
      <c r="D225" s="132"/>
      <c r="E225" s="132"/>
      <c r="G225" s="22"/>
      <c r="H225" s="23"/>
      <c r="I225" s="21"/>
      <c r="J225" s="21"/>
    </row>
    <row r="226" spans="2:10" x14ac:dyDescent="0.35">
      <c r="B226" s="37"/>
      <c r="C226" s="266"/>
      <c r="D226" s="132"/>
      <c r="E226" s="132"/>
      <c r="G226" s="22"/>
      <c r="H226" s="23"/>
      <c r="I226" s="21"/>
      <c r="J226" s="21"/>
    </row>
    <row r="227" spans="2:10" x14ac:dyDescent="0.35">
      <c r="B227" s="267"/>
      <c r="C227" s="12"/>
      <c r="D227" s="132"/>
      <c r="E227" s="132"/>
      <c r="G227" s="22"/>
      <c r="H227" s="23"/>
      <c r="I227" s="21"/>
      <c r="J227" s="21"/>
    </row>
    <row r="228" spans="2:10" x14ac:dyDescent="0.35">
      <c r="B228" s="37"/>
      <c r="C228" s="266"/>
      <c r="D228" s="133"/>
      <c r="E228" s="132"/>
      <c r="G228" s="22"/>
      <c r="H228" s="23"/>
      <c r="I228" s="21"/>
      <c r="J228" s="21"/>
    </row>
    <row r="229" spans="2:10" x14ac:dyDescent="0.35">
      <c r="B229" s="37"/>
      <c r="C229" s="266"/>
      <c r="D229" s="133"/>
      <c r="E229" s="132"/>
      <c r="G229" s="22"/>
      <c r="H229" s="23"/>
      <c r="I229" s="21"/>
      <c r="J229" s="21"/>
    </row>
    <row r="230" spans="2:10" x14ac:dyDescent="0.35">
      <c r="B230" s="37"/>
      <c r="C230" s="268"/>
      <c r="D230" s="133"/>
      <c r="E230" s="132"/>
      <c r="G230" s="22"/>
      <c r="H230" s="23"/>
      <c r="I230" s="21"/>
      <c r="J230" s="21"/>
    </row>
    <row r="231" spans="2:10" x14ac:dyDescent="0.35">
      <c r="B231" s="37"/>
      <c r="C231" s="268"/>
      <c r="D231" s="133"/>
      <c r="E231" s="132"/>
      <c r="G231" s="22"/>
      <c r="H231" s="23"/>
      <c r="I231" s="21"/>
      <c r="J231" s="21"/>
    </row>
    <row r="232" spans="2:10" x14ac:dyDescent="0.35">
      <c r="B232" s="267"/>
      <c r="C232" s="269"/>
      <c r="D232" s="133"/>
      <c r="E232" s="132"/>
      <c r="G232" s="22"/>
      <c r="H232" s="23"/>
      <c r="I232" s="21"/>
      <c r="J232" s="21"/>
    </row>
    <row r="233" spans="2:10" x14ac:dyDescent="0.35">
      <c r="B233" s="37"/>
      <c r="C233" s="12"/>
      <c r="D233" s="133"/>
      <c r="E233" s="132"/>
      <c r="G233" s="22"/>
      <c r="H233" s="23"/>
      <c r="I233" s="21"/>
      <c r="J233" s="21"/>
    </row>
    <row r="234" spans="2:10" x14ac:dyDescent="0.35">
      <c r="B234" s="267"/>
      <c r="C234" s="268"/>
      <c r="D234" s="133"/>
      <c r="E234" s="132"/>
      <c r="G234" s="22"/>
      <c r="H234" s="23"/>
      <c r="I234" s="21"/>
      <c r="J234" s="21"/>
    </row>
    <row r="235" spans="2:10" x14ac:dyDescent="0.35">
      <c r="B235" s="267"/>
      <c r="C235" s="269"/>
      <c r="D235" s="133"/>
      <c r="E235" s="132"/>
      <c r="G235" s="22"/>
      <c r="H235" s="23"/>
      <c r="I235" s="21"/>
      <c r="J235" s="21"/>
    </row>
    <row r="236" spans="2:10" x14ac:dyDescent="0.35">
      <c r="B236" s="37"/>
      <c r="C236" s="12"/>
      <c r="D236" s="133"/>
      <c r="E236" s="132"/>
      <c r="G236" s="22"/>
      <c r="H236" s="23"/>
      <c r="I236" s="21"/>
      <c r="J236" s="21"/>
    </row>
    <row r="237" spans="2:10" x14ac:dyDescent="0.35">
      <c r="B237" s="267"/>
      <c r="C237" s="268"/>
      <c r="D237" s="133"/>
      <c r="E237" s="132"/>
      <c r="G237" s="22"/>
      <c r="H237" s="23"/>
      <c r="I237" s="21"/>
      <c r="J237" s="21"/>
    </row>
    <row r="238" spans="2:10" x14ac:dyDescent="0.35">
      <c r="B238" s="37"/>
      <c r="C238" s="12"/>
      <c r="D238" s="132"/>
      <c r="E238" s="132"/>
      <c r="G238" s="22"/>
      <c r="H238" s="23"/>
      <c r="I238" s="21"/>
      <c r="J238" s="21"/>
    </row>
    <row r="239" spans="2:10" x14ac:dyDescent="0.35">
      <c r="G239" s="22"/>
      <c r="H239" s="23"/>
      <c r="I239" s="21"/>
      <c r="J239" s="21"/>
    </row>
    <row r="240" spans="2:10" x14ac:dyDescent="0.35">
      <c r="G240" s="22"/>
      <c r="H240" s="23"/>
      <c r="I240" s="21"/>
      <c r="J240" s="21"/>
    </row>
    <row r="241" spans="7:10" x14ac:dyDescent="0.35">
      <c r="G241" s="22"/>
      <c r="H241" s="23"/>
      <c r="I241" s="21"/>
      <c r="J241" s="21"/>
    </row>
    <row r="242" spans="7:10" x14ac:dyDescent="0.35">
      <c r="G242" s="22"/>
      <c r="H242" s="23"/>
      <c r="I242" s="21"/>
      <c r="J242" s="21"/>
    </row>
    <row r="243" spans="7:10" x14ac:dyDescent="0.35">
      <c r="G243" s="22"/>
      <c r="H243" s="23"/>
      <c r="I243" s="21"/>
      <c r="J243" s="21"/>
    </row>
    <row r="244" spans="7:10" x14ac:dyDescent="0.35">
      <c r="G244" s="22"/>
      <c r="H244" s="23"/>
      <c r="I244" s="21"/>
      <c r="J244" s="21"/>
    </row>
    <row r="245" spans="7:10" x14ac:dyDescent="0.35">
      <c r="G245" s="22"/>
      <c r="H245" s="23"/>
      <c r="I245" s="21"/>
      <c r="J245" s="21"/>
    </row>
    <row r="246" spans="7:10" x14ac:dyDescent="0.35">
      <c r="G246" s="22"/>
      <c r="H246" s="23"/>
      <c r="I246" s="21"/>
      <c r="J246" s="21"/>
    </row>
    <row r="247" spans="7:10" x14ac:dyDescent="0.35">
      <c r="G247" s="22"/>
      <c r="H247" s="23"/>
      <c r="I247" s="21"/>
      <c r="J247" s="21"/>
    </row>
    <row r="248" spans="7:10" x14ac:dyDescent="0.35">
      <c r="G248" s="22"/>
      <c r="H248" s="23"/>
      <c r="I248" s="21"/>
      <c r="J248" s="21"/>
    </row>
    <row r="249" spans="7:10" x14ac:dyDescent="0.35">
      <c r="G249" s="22"/>
      <c r="H249" s="23"/>
      <c r="I249" s="21"/>
      <c r="J249" s="21"/>
    </row>
    <row r="250" spans="7:10" x14ac:dyDescent="0.35">
      <c r="G250" s="22"/>
      <c r="H250" s="23"/>
      <c r="I250" s="21"/>
      <c r="J250" s="21"/>
    </row>
    <row r="251" spans="7:10" x14ac:dyDescent="0.35">
      <c r="G251" s="22"/>
      <c r="H251" s="23"/>
      <c r="I251" s="21"/>
      <c r="J251" s="21"/>
    </row>
    <row r="252" spans="7:10" x14ac:dyDescent="0.35">
      <c r="G252" s="22"/>
      <c r="H252" s="23"/>
      <c r="I252" s="21"/>
      <c r="J252" s="21"/>
    </row>
    <row r="253" spans="7:10" x14ac:dyDescent="0.35">
      <c r="G253" s="22"/>
      <c r="H253" s="23"/>
      <c r="I253" s="21"/>
      <c r="J253" s="21"/>
    </row>
    <row r="254" spans="7:10" x14ac:dyDescent="0.35">
      <c r="G254" s="22"/>
      <c r="H254" s="23"/>
      <c r="I254" s="21"/>
      <c r="J254" s="21"/>
    </row>
    <row r="255" spans="7:10" x14ac:dyDescent="0.35">
      <c r="G255" s="22"/>
      <c r="H255" s="23"/>
      <c r="I255" s="21"/>
      <c r="J255" s="21"/>
    </row>
    <row r="256" spans="7:10" x14ac:dyDescent="0.35">
      <c r="G256" s="22"/>
      <c r="H256" s="23"/>
      <c r="I256" s="21"/>
      <c r="J256" s="21"/>
    </row>
    <row r="257" spans="2:10" x14ac:dyDescent="0.35">
      <c r="G257" s="22"/>
      <c r="H257" s="23"/>
      <c r="I257" s="21"/>
      <c r="J257" s="21"/>
    </row>
    <row r="258" spans="2:10" x14ac:dyDescent="0.35">
      <c r="G258" s="22"/>
      <c r="H258" s="23"/>
      <c r="I258" s="21"/>
      <c r="J258" s="21"/>
    </row>
    <row r="259" spans="2:10" x14ac:dyDescent="0.35">
      <c r="G259" s="22"/>
      <c r="H259" s="23"/>
      <c r="I259" s="21"/>
      <c r="J259" s="21"/>
    </row>
    <row r="260" spans="2:10" x14ac:dyDescent="0.35">
      <c r="G260" s="22"/>
      <c r="H260" s="23"/>
      <c r="I260" s="21"/>
      <c r="J260" s="21"/>
    </row>
    <row r="261" spans="2:10" x14ac:dyDescent="0.35">
      <c r="G261" s="22"/>
      <c r="H261" s="23"/>
      <c r="I261" s="21"/>
      <c r="J261" s="21"/>
    </row>
    <row r="262" spans="2:10" x14ac:dyDescent="0.35">
      <c r="G262" s="22"/>
      <c r="H262" s="23"/>
      <c r="I262" s="21"/>
      <c r="J262" s="21"/>
    </row>
    <row r="263" spans="2:10" ht="16" thickBot="1" x14ac:dyDescent="0.4">
      <c r="C263" s="88" t="s">
        <v>2</v>
      </c>
      <c r="G263" s="22"/>
      <c r="H263" s="23"/>
      <c r="I263" s="21"/>
      <c r="J263" s="21"/>
    </row>
    <row r="264" spans="2:10" x14ac:dyDescent="0.35">
      <c r="B264" s="29" t="s">
        <v>735</v>
      </c>
      <c r="C264" s="89">
        <v>17</v>
      </c>
      <c r="G264" s="22"/>
      <c r="H264" s="23"/>
      <c r="I264" s="21"/>
      <c r="J264" s="21"/>
    </row>
    <row r="265" spans="2:10" x14ac:dyDescent="0.35">
      <c r="B265" s="29" t="s">
        <v>702</v>
      </c>
      <c r="C265" s="135">
        <v>180</v>
      </c>
      <c r="D265" s="20" t="s">
        <v>8</v>
      </c>
      <c r="G265" s="22"/>
      <c r="H265" s="23"/>
      <c r="I265" s="21"/>
      <c r="J265" s="21"/>
    </row>
    <row r="266" spans="2:10" x14ac:dyDescent="0.35">
      <c r="B266" s="29" t="s">
        <v>599</v>
      </c>
      <c r="C266" s="135">
        <v>200</v>
      </c>
      <c r="D266" s="20" t="s">
        <v>28</v>
      </c>
      <c r="G266" s="22"/>
      <c r="H266" s="23"/>
      <c r="I266" s="21"/>
      <c r="J266" s="21"/>
    </row>
    <row r="267" spans="2:10" ht="16" thickBot="1" x14ac:dyDescent="0.4">
      <c r="B267" s="29" t="s">
        <v>5</v>
      </c>
      <c r="C267" s="91">
        <v>900</v>
      </c>
      <c r="D267" s="20" t="s">
        <v>76</v>
      </c>
      <c r="G267" s="22"/>
      <c r="H267" s="23"/>
      <c r="I267" s="21"/>
      <c r="J267" s="21"/>
    </row>
    <row r="268" spans="2:10" x14ac:dyDescent="0.35">
      <c r="B268" s="190"/>
      <c r="C268" s="88" t="s">
        <v>3</v>
      </c>
      <c r="D268" s="39"/>
      <c r="G268" s="22"/>
      <c r="H268" s="23"/>
      <c r="I268" s="21"/>
      <c r="J268" s="21"/>
    </row>
    <row r="269" spans="2:10" x14ac:dyDescent="0.35">
      <c r="B269" s="86" t="s">
        <v>737</v>
      </c>
      <c r="C269" s="232">
        <v>1</v>
      </c>
      <c r="D269" s="122"/>
      <c r="G269" s="164"/>
      <c r="H269" s="23"/>
      <c r="I269" s="21"/>
      <c r="J269" s="21"/>
    </row>
    <row r="270" spans="2:10" x14ac:dyDescent="0.35">
      <c r="B270" s="86" t="s">
        <v>738</v>
      </c>
      <c r="C270" s="124">
        <v>0.71699999999999997</v>
      </c>
      <c r="D270" s="2"/>
      <c r="G270" s="144"/>
      <c r="H270" s="23"/>
      <c r="I270" s="21"/>
      <c r="J270" s="21"/>
    </row>
    <row r="271" spans="2:10" x14ac:dyDescent="0.35">
      <c r="B271" s="86" t="s">
        <v>736</v>
      </c>
      <c r="C271" s="4">
        <v>0.28699999999999998</v>
      </c>
      <c r="D271" s="2"/>
      <c r="G271" s="144"/>
      <c r="H271" s="23"/>
      <c r="I271" s="21"/>
      <c r="J271" s="21"/>
    </row>
    <row r="272" spans="2:10" x14ac:dyDescent="0.35">
      <c r="B272" s="86" t="s">
        <v>669</v>
      </c>
      <c r="C272" s="4" t="s">
        <v>670</v>
      </c>
      <c r="D272" s="2"/>
      <c r="G272" s="144"/>
      <c r="H272" s="23"/>
      <c r="I272" s="21"/>
      <c r="J272" s="21"/>
    </row>
    <row r="273" spans="2:10" x14ac:dyDescent="0.35">
      <c r="B273" s="86" t="s">
        <v>4</v>
      </c>
      <c r="C273" s="4">
        <f>C265+273</f>
        <v>453</v>
      </c>
      <c r="D273" s="2" t="s">
        <v>10</v>
      </c>
      <c r="G273" s="144"/>
      <c r="H273" s="23"/>
      <c r="I273" s="21"/>
      <c r="J273" s="21"/>
    </row>
    <row r="274" spans="2:10" x14ac:dyDescent="0.35">
      <c r="B274" s="86" t="s">
        <v>706</v>
      </c>
      <c r="C274" s="4" t="s">
        <v>698</v>
      </c>
      <c r="D274" s="2"/>
      <c r="G274" s="39"/>
      <c r="H274" s="23"/>
      <c r="I274" s="21"/>
      <c r="J274" s="21"/>
    </row>
    <row r="275" spans="2:10" x14ac:dyDescent="0.35">
      <c r="B275" s="86" t="s">
        <v>4</v>
      </c>
      <c r="C275" s="137">
        <f>C271*C273/C266</f>
        <v>0.65005499999999994</v>
      </c>
      <c r="D275" s="2" t="s">
        <v>75</v>
      </c>
      <c r="G275" s="270"/>
      <c r="H275" s="23"/>
      <c r="I275" s="21"/>
      <c r="J275" s="21"/>
    </row>
    <row r="276" spans="2:10" x14ac:dyDescent="0.35">
      <c r="B276" s="86" t="s">
        <v>707</v>
      </c>
      <c r="C276" s="4" t="s">
        <v>708</v>
      </c>
      <c r="D276" s="2"/>
      <c r="G276" s="39"/>
      <c r="H276" s="23"/>
      <c r="I276" s="21"/>
      <c r="J276" s="21"/>
    </row>
    <row r="277" spans="2:10" x14ac:dyDescent="0.35">
      <c r="B277" s="86" t="s">
        <v>4</v>
      </c>
      <c r="C277" s="96">
        <f>C275/18</f>
        <v>3.6114166666666662E-2</v>
      </c>
      <c r="D277" s="2" t="s">
        <v>75</v>
      </c>
      <c r="G277" s="164"/>
      <c r="H277" s="23"/>
      <c r="I277" s="21"/>
      <c r="J277" s="21"/>
    </row>
    <row r="278" spans="2:10" x14ac:dyDescent="0.35">
      <c r="B278" s="4" t="s">
        <v>703</v>
      </c>
      <c r="C278" s="4"/>
      <c r="D278" s="2"/>
      <c r="G278" s="144"/>
      <c r="H278" s="23"/>
      <c r="I278" s="21"/>
      <c r="J278" s="21"/>
    </row>
    <row r="279" spans="2:10" x14ac:dyDescent="0.35">
      <c r="B279" s="86" t="s">
        <v>77</v>
      </c>
      <c r="C279" s="94">
        <v>1.4</v>
      </c>
      <c r="D279" s="2"/>
      <c r="G279" s="144"/>
      <c r="H279" s="23"/>
      <c r="I279" s="21"/>
      <c r="J279" s="21"/>
    </row>
    <row r="280" spans="2:10" x14ac:dyDescent="0.35">
      <c r="B280" s="86" t="s">
        <v>704</v>
      </c>
      <c r="C280" s="4" t="s">
        <v>705</v>
      </c>
      <c r="D280" s="2"/>
      <c r="G280" s="144"/>
      <c r="H280" s="23"/>
      <c r="I280" s="144"/>
      <c r="J280" s="21"/>
    </row>
    <row r="281" spans="2:10" x14ac:dyDescent="0.35">
      <c r="B281" s="86" t="s">
        <v>4</v>
      </c>
      <c r="C281" s="93">
        <f>C273*(C275/C277)^(C279-1)</f>
        <v>1439.4851999853356</v>
      </c>
      <c r="D281" s="2" t="s">
        <v>10</v>
      </c>
      <c r="G281" s="144"/>
      <c r="H281" s="23"/>
      <c r="I281" s="144"/>
      <c r="J281" s="21"/>
    </row>
    <row r="282" spans="2:10" x14ac:dyDescent="0.35">
      <c r="B282" s="86" t="s">
        <v>709</v>
      </c>
      <c r="C282" s="4" t="s">
        <v>713</v>
      </c>
      <c r="D282" s="2"/>
      <c r="G282" s="164"/>
      <c r="H282" s="23"/>
      <c r="I282" s="144"/>
      <c r="J282" s="21"/>
    </row>
    <row r="283" spans="2:10" x14ac:dyDescent="0.35">
      <c r="B283" s="86" t="s">
        <v>4</v>
      </c>
      <c r="C283" s="93">
        <f>C266*(C275/C277)^C279</f>
        <v>11439.617483327167</v>
      </c>
      <c r="D283" s="2" t="s">
        <v>78</v>
      </c>
      <c r="G283" s="164"/>
      <c r="H283" s="23"/>
      <c r="I283" s="144"/>
      <c r="J283" s="21"/>
    </row>
    <row r="284" spans="2:10" x14ac:dyDescent="0.35">
      <c r="B284" s="86" t="s">
        <v>4</v>
      </c>
      <c r="C284" s="94">
        <f>C283/1000</f>
        <v>11.439617483327167</v>
      </c>
      <c r="D284" s="2" t="s">
        <v>79</v>
      </c>
      <c r="G284" s="164"/>
      <c r="H284" s="23"/>
      <c r="I284" s="21"/>
      <c r="J284" s="21"/>
    </row>
    <row r="285" spans="2:10" x14ac:dyDescent="0.35">
      <c r="B285" s="4" t="s">
        <v>720</v>
      </c>
      <c r="C285" s="4"/>
      <c r="D285" s="2"/>
      <c r="G285" s="164"/>
      <c r="H285" s="23"/>
      <c r="I285" s="21"/>
      <c r="J285" s="21"/>
    </row>
    <row r="286" spans="2:10" x14ac:dyDescent="0.35">
      <c r="B286" s="86" t="s">
        <v>690</v>
      </c>
      <c r="C286" s="4" t="s">
        <v>710</v>
      </c>
      <c r="D286" s="2"/>
      <c r="G286" s="22"/>
      <c r="H286" s="23"/>
      <c r="I286" s="21"/>
      <c r="J286" s="21"/>
    </row>
    <row r="287" spans="2:10" x14ac:dyDescent="0.35">
      <c r="B287" s="86" t="s">
        <v>715</v>
      </c>
      <c r="C287" s="4" t="s">
        <v>739</v>
      </c>
      <c r="D287" s="2"/>
      <c r="G287" s="22"/>
      <c r="H287" s="23"/>
      <c r="I287" s="21"/>
      <c r="J287" s="21"/>
    </row>
    <row r="288" spans="2:10" x14ac:dyDescent="0.35">
      <c r="B288" s="86" t="s">
        <v>741</v>
      </c>
      <c r="C288" s="4" t="s">
        <v>740</v>
      </c>
      <c r="D288" s="2"/>
      <c r="G288" s="22"/>
      <c r="H288" s="23"/>
      <c r="I288" s="21"/>
      <c r="J288" s="21"/>
    </row>
    <row r="289" spans="2:10" x14ac:dyDescent="0.35">
      <c r="B289" s="86" t="s">
        <v>741</v>
      </c>
      <c r="C289" s="137">
        <f>(1 /C275)^(C279-1)</f>
        <v>1.1880096237591504</v>
      </c>
      <c r="G289" s="22"/>
      <c r="H289" s="23"/>
      <c r="I289" s="21"/>
      <c r="J289" s="21"/>
    </row>
    <row r="290" spans="2:10" x14ac:dyDescent="0.35">
      <c r="B290" s="86" t="s">
        <v>716</v>
      </c>
      <c r="C290" s="137">
        <f>C289</f>
        <v>1.1880096237591504</v>
      </c>
      <c r="G290" s="22"/>
      <c r="H290" s="23"/>
      <c r="I290" s="21"/>
      <c r="J290" s="21"/>
    </row>
    <row r="291" spans="2:10" x14ac:dyDescent="0.35">
      <c r="B291" s="86" t="s">
        <v>17</v>
      </c>
      <c r="C291" s="4" t="s">
        <v>742</v>
      </c>
      <c r="D291" s="25" t="s">
        <v>729</v>
      </c>
      <c r="G291" s="22"/>
      <c r="H291" s="23"/>
      <c r="I291" s="21"/>
      <c r="J291" s="21"/>
    </row>
    <row r="292" spans="2:10" x14ac:dyDescent="0.35">
      <c r="B292" s="4" t="s">
        <v>721</v>
      </c>
      <c r="C292" s="4"/>
      <c r="D292" s="26"/>
      <c r="G292" s="22"/>
      <c r="H292" s="23"/>
      <c r="I292" s="21"/>
      <c r="J292" s="21"/>
    </row>
    <row r="293" spans="2:10" x14ac:dyDescent="0.35">
      <c r="B293" s="86" t="s">
        <v>714</v>
      </c>
      <c r="C293" s="4" t="s">
        <v>711</v>
      </c>
      <c r="D293" s="26"/>
      <c r="F293" s="159"/>
      <c r="G293" s="22"/>
      <c r="H293" s="23"/>
      <c r="I293" s="21"/>
      <c r="J293" s="21"/>
    </row>
    <row r="294" spans="2:10" x14ac:dyDescent="0.35">
      <c r="B294" s="86" t="s">
        <v>714</v>
      </c>
      <c r="C294" s="93">
        <f>C281/C277</f>
        <v>39859.294366993629</v>
      </c>
      <c r="D294" s="26"/>
      <c r="G294" s="22"/>
      <c r="H294" s="23"/>
      <c r="I294" s="21"/>
      <c r="J294" s="21"/>
    </row>
    <row r="295" spans="2:10" x14ac:dyDescent="0.35">
      <c r="B295" s="86" t="s">
        <v>717</v>
      </c>
      <c r="C295" s="93">
        <f>C294</f>
        <v>39859.294366993629</v>
      </c>
      <c r="D295" s="26"/>
      <c r="G295" s="22"/>
      <c r="H295" s="23"/>
      <c r="I295" s="21"/>
      <c r="J295" s="21"/>
    </row>
    <row r="296" spans="2:10" x14ac:dyDescent="0.35">
      <c r="B296" s="86" t="s">
        <v>17</v>
      </c>
      <c r="C296" s="4" t="s">
        <v>718</v>
      </c>
      <c r="D296" s="25" t="s">
        <v>730</v>
      </c>
      <c r="G296" s="22"/>
      <c r="H296" s="23"/>
      <c r="I296" s="21"/>
      <c r="J296" s="21"/>
    </row>
    <row r="297" spans="2:10" x14ac:dyDescent="0.35">
      <c r="B297" s="4" t="s">
        <v>743</v>
      </c>
      <c r="G297" s="22"/>
      <c r="H297" s="23"/>
      <c r="I297" s="21"/>
      <c r="J297" s="21"/>
    </row>
    <row r="298" spans="2:10" ht="17.5" x14ac:dyDescent="0.45">
      <c r="B298" s="86" t="s">
        <v>80</v>
      </c>
      <c r="C298" s="4" t="s">
        <v>972</v>
      </c>
      <c r="D298" s="2"/>
      <c r="G298" s="22"/>
      <c r="H298" s="23"/>
      <c r="I298" s="21"/>
      <c r="J298" s="21"/>
    </row>
    <row r="299" spans="2:10" x14ac:dyDescent="0.35">
      <c r="B299" s="86" t="s">
        <v>5</v>
      </c>
      <c r="C299" s="4" t="s">
        <v>712</v>
      </c>
      <c r="D299" s="2"/>
      <c r="G299" s="22"/>
      <c r="H299" s="23"/>
      <c r="I299" s="21"/>
      <c r="J299" s="21"/>
    </row>
    <row r="300" spans="2:10" x14ac:dyDescent="0.35">
      <c r="B300" s="86" t="s">
        <v>722</v>
      </c>
      <c r="C300" s="4" t="s">
        <v>724</v>
      </c>
      <c r="G300" s="22"/>
      <c r="H300" s="23"/>
      <c r="I300" s="21"/>
      <c r="J300" s="21"/>
    </row>
    <row r="301" spans="2:10" x14ac:dyDescent="0.35">
      <c r="B301" s="86" t="s">
        <v>723</v>
      </c>
      <c r="C301" s="4" t="s">
        <v>766</v>
      </c>
      <c r="D301" s="2"/>
      <c r="G301" s="22"/>
      <c r="H301" s="23"/>
      <c r="I301" s="21"/>
      <c r="J301" s="21"/>
    </row>
    <row r="302" spans="2:10" x14ac:dyDescent="0.35">
      <c r="B302" s="86" t="s">
        <v>725</v>
      </c>
      <c r="C302" s="4" t="s">
        <v>726</v>
      </c>
      <c r="G302" s="22"/>
      <c r="H302" s="23"/>
      <c r="I302" s="21"/>
      <c r="J302" s="21"/>
    </row>
    <row r="303" spans="2:10" x14ac:dyDescent="0.35">
      <c r="B303" s="86" t="s">
        <v>727</v>
      </c>
      <c r="C303" s="4" t="s">
        <v>765</v>
      </c>
      <c r="D303" s="2"/>
      <c r="F303" s="29"/>
      <c r="G303" s="22"/>
      <c r="H303" s="23"/>
      <c r="I303" s="21"/>
      <c r="J303" s="21"/>
    </row>
    <row r="304" spans="2:10" x14ac:dyDescent="0.35">
      <c r="B304" s="86" t="s">
        <v>719</v>
      </c>
      <c r="C304" s="93">
        <f>C267/C270 + C279*C281 - C273</f>
        <v>2817.5094055024824</v>
      </c>
      <c r="F304" s="29"/>
      <c r="G304" s="22"/>
      <c r="H304" s="23"/>
      <c r="I304" s="21"/>
      <c r="J304" s="21"/>
    </row>
    <row r="305" spans="2:10" x14ac:dyDescent="0.35">
      <c r="B305" s="86" t="s">
        <v>728</v>
      </c>
      <c r="C305" s="93">
        <f>C304</f>
        <v>2817.5094055024824</v>
      </c>
      <c r="D305" s="2"/>
      <c r="F305" s="29"/>
      <c r="G305" s="22"/>
      <c r="H305" s="23"/>
      <c r="I305" s="21"/>
      <c r="J305" s="21"/>
    </row>
    <row r="306" spans="2:10" x14ac:dyDescent="0.35">
      <c r="B306" s="86" t="s">
        <v>17</v>
      </c>
      <c r="C306" s="4" t="s">
        <v>744</v>
      </c>
      <c r="D306" s="25" t="s">
        <v>731</v>
      </c>
      <c r="G306" s="22"/>
      <c r="H306" s="23"/>
      <c r="I306" s="21"/>
      <c r="J306" s="21"/>
    </row>
    <row r="307" spans="2:10" x14ac:dyDescent="0.35">
      <c r="D307" s="26"/>
      <c r="G307" s="22"/>
      <c r="H307" s="23"/>
      <c r="I307" s="21"/>
      <c r="J307" s="21"/>
    </row>
    <row r="308" spans="2:10" x14ac:dyDescent="0.35">
      <c r="B308" s="4" t="s">
        <v>796</v>
      </c>
      <c r="D308" s="26"/>
      <c r="G308" s="22"/>
      <c r="H308" s="23"/>
      <c r="I308" s="21"/>
      <c r="J308" s="21"/>
    </row>
    <row r="309" spans="2:10" x14ac:dyDescent="0.35">
      <c r="B309" s="4" t="s">
        <v>771</v>
      </c>
      <c r="D309" s="26"/>
      <c r="G309" s="22"/>
      <c r="H309" s="23"/>
      <c r="I309" s="21"/>
      <c r="J309" s="21"/>
    </row>
    <row r="310" spans="2:10" x14ac:dyDescent="0.35">
      <c r="B310" s="86" t="s">
        <v>17</v>
      </c>
      <c r="C310" s="4" t="s">
        <v>742</v>
      </c>
      <c r="D310" s="38" t="s">
        <v>729</v>
      </c>
      <c r="G310" s="22"/>
      <c r="H310" s="23"/>
      <c r="I310" s="21"/>
      <c r="J310" s="21"/>
    </row>
    <row r="311" spans="2:10" x14ac:dyDescent="0.35">
      <c r="B311" s="152" t="s">
        <v>17</v>
      </c>
      <c r="C311" s="124" t="s">
        <v>718</v>
      </c>
      <c r="D311" s="38" t="s">
        <v>730</v>
      </c>
      <c r="G311" s="22"/>
      <c r="H311" s="23"/>
      <c r="I311" s="21"/>
      <c r="J311" s="21"/>
    </row>
    <row r="312" spans="2:10" x14ac:dyDescent="0.35">
      <c r="B312" s="86" t="s">
        <v>17</v>
      </c>
      <c r="C312" s="4" t="s">
        <v>744</v>
      </c>
      <c r="D312" s="38" t="s">
        <v>731</v>
      </c>
      <c r="G312" s="22"/>
      <c r="H312" s="23"/>
      <c r="I312" s="21"/>
      <c r="J312" s="21"/>
    </row>
    <row r="313" spans="2:10" x14ac:dyDescent="0.35">
      <c r="D313" s="26"/>
      <c r="G313" s="22"/>
      <c r="H313" s="23"/>
      <c r="I313" s="21"/>
      <c r="J313" s="21"/>
    </row>
    <row r="314" spans="2:10" x14ac:dyDescent="0.35">
      <c r="B314" s="86" t="s">
        <v>689</v>
      </c>
      <c r="C314" s="4" t="s">
        <v>754</v>
      </c>
      <c r="D314" s="38" t="s">
        <v>730</v>
      </c>
      <c r="G314" s="22"/>
      <c r="H314" s="23"/>
      <c r="I314" s="21"/>
      <c r="J314" s="21"/>
    </row>
    <row r="315" spans="2:10" x14ac:dyDescent="0.35">
      <c r="B315" s="86"/>
      <c r="C315" s="4"/>
      <c r="D315" s="26"/>
      <c r="G315" s="22"/>
      <c r="H315" s="23"/>
      <c r="I315" s="21"/>
      <c r="J315" s="21"/>
    </row>
    <row r="316" spans="2:10" x14ac:dyDescent="0.35">
      <c r="B316" s="86" t="s">
        <v>690</v>
      </c>
      <c r="C316" s="4" t="s">
        <v>755</v>
      </c>
      <c r="D316" s="38" t="s">
        <v>731</v>
      </c>
      <c r="G316" s="22"/>
      <c r="H316" s="23"/>
      <c r="I316" s="21"/>
      <c r="J316" s="21"/>
    </row>
    <row r="317" spans="2:10" x14ac:dyDescent="0.35">
      <c r="B317" s="86" t="s">
        <v>689</v>
      </c>
      <c r="C317" s="4" t="s">
        <v>756</v>
      </c>
      <c r="D317" s="38" t="s">
        <v>729</v>
      </c>
      <c r="G317" s="22"/>
      <c r="H317" s="23"/>
      <c r="I317" s="21"/>
      <c r="J317" s="21"/>
    </row>
    <row r="318" spans="2:10" x14ac:dyDescent="0.35">
      <c r="G318" s="22"/>
      <c r="H318" s="23"/>
      <c r="I318" s="21"/>
      <c r="J318" s="21"/>
    </row>
    <row r="319" spans="2:10" x14ac:dyDescent="0.35">
      <c r="B319" s="86" t="s">
        <v>17</v>
      </c>
      <c r="C319" s="4" t="s">
        <v>758</v>
      </c>
      <c r="E319" s="122" t="s">
        <v>757</v>
      </c>
      <c r="G319" s="22"/>
      <c r="H319" s="23"/>
      <c r="I319" s="21"/>
      <c r="J319" s="21"/>
    </row>
    <row r="320" spans="2:10" x14ac:dyDescent="0.35">
      <c r="B320" s="86" t="s">
        <v>763</v>
      </c>
      <c r="C320" s="4" t="s">
        <v>759</v>
      </c>
      <c r="D320" s="38" t="s">
        <v>753</v>
      </c>
      <c r="G320" s="22"/>
      <c r="H320" s="23"/>
      <c r="I320" s="21"/>
      <c r="J320" s="21"/>
    </row>
    <row r="321" spans="2:10" x14ac:dyDescent="0.35">
      <c r="D321" s="26"/>
      <c r="G321" s="22"/>
      <c r="H321" s="23"/>
      <c r="I321" s="21"/>
      <c r="J321" s="21"/>
    </row>
    <row r="322" spans="2:10" x14ac:dyDescent="0.35">
      <c r="B322" s="86" t="s">
        <v>17</v>
      </c>
      <c r="C322" s="4" t="s">
        <v>744</v>
      </c>
      <c r="D322" s="38" t="s">
        <v>731</v>
      </c>
      <c r="G322" s="22"/>
      <c r="H322" s="23"/>
      <c r="I322" s="21"/>
      <c r="J322" s="21"/>
    </row>
    <row r="323" spans="2:10" x14ac:dyDescent="0.35">
      <c r="B323" s="86" t="s">
        <v>690</v>
      </c>
      <c r="C323" s="4" t="s">
        <v>760</v>
      </c>
      <c r="D323" s="2"/>
      <c r="G323" s="22"/>
      <c r="H323" s="23"/>
      <c r="I323" s="21"/>
      <c r="J323" s="21"/>
    </row>
    <row r="324" spans="2:10" x14ac:dyDescent="0.35">
      <c r="B324" s="86" t="s">
        <v>690</v>
      </c>
      <c r="C324" s="4" t="s">
        <v>761</v>
      </c>
      <c r="D324" s="122" t="s">
        <v>767</v>
      </c>
      <c r="G324" s="22"/>
      <c r="H324" s="23"/>
      <c r="I324" s="21"/>
      <c r="J324" s="21"/>
    </row>
    <row r="325" spans="2:10" x14ac:dyDescent="0.35">
      <c r="G325" s="22"/>
      <c r="H325" s="23"/>
      <c r="I325" s="21"/>
      <c r="J325" s="21"/>
    </row>
    <row r="326" spans="2:10" x14ac:dyDescent="0.35">
      <c r="B326" s="86" t="s">
        <v>763</v>
      </c>
      <c r="C326" s="4" t="s">
        <v>761</v>
      </c>
      <c r="E326" s="2" t="s">
        <v>764</v>
      </c>
      <c r="G326" s="22"/>
      <c r="H326" s="23"/>
      <c r="I326" s="21"/>
      <c r="J326" s="21"/>
    </row>
    <row r="327" spans="2:10" x14ac:dyDescent="0.35">
      <c r="B327" s="86" t="s">
        <v>17</v>
      </c>
      <c r="C327" s="4" t="s">
        <v>773</v>
      </c>
      <c r="G327" s="22"/>
      <c r="H327" s="23"/>
      <c r="I327" s="21"/>
      <c r="J327" s="21"/>
    </row>
    <row r="328" spans="2:10" x14ac:dyDescent="0.35">
      <c r="G328" s="22"/>
      <c r="H328" s="23"/>
      <c r="I328" s="21"/>
      <c r="J328" s="21"/>
    </row>
    <row r="329" spans="2:10" ht="18" x14ac:dyDescent="0.4">
      <c r="B329" s="44" t="s">
        <v>772</v>
      </c>
      <c r="F329" s="2" t="s">
        <v>979</v>
      </c>
      <c r="G329" s="22"/>
      <c r="H329" s="23"/>
      <c r="I329" s="21"/>
      <c r="J329" s="21"/>
    </row>
    <row r="330" spans="2:10" x14ac:dyDescent="0.35">
      <c r="B330" s="4" t="s">
        <v>774</v>
      </c>
      <c r="G330" s="22"/>
      <c r="H330" s="23"/>
      <c r="I330" s="21"/>
      <c r="J330" s="21"/>
    </row>
    <row r="331" spans="2:10" x14ac:dyDescent="0.35">
      <c r="B331" s="4" t="s">
        <v>780</v>
      </c>
      <c r="G331" s="22"/>
      <c r="H331" s="23"/>
      <c r="I331" s="21"/>
      <c r="J331" s="21"/>
    </row>
    <row r="332" spans="2:10" x14ac:dyDescent="0.35">
      <c r="G332" s="22"/>
      <c r="H332" s="23"/>
      <c r="I332" s="21"/>
      <c r="J332" s="21"/>
    </row>
    <row r="333" spans="2:10" x14ac:dyDescent="0.35">
      <c r="B333" s="4" t="s">
        <v>775</v>
      </c>
      <c r="G333" s="22"/>
      <c r="H333" s="23"/>
      <c r="I333" s="21"/>
      <c r="J333" s="21"/>
    </row>
    <row r="334" spans="2:10" x14ac:dyDescent="0.35">
      <c r="B334" s="4"/>
      <c r="G334" s="22"/>
      <c r="H334" s="23"/>
      <c r="I334" s="21"/>
      <c r="J334" s="21"/>
    </row>
    <row r="335" spans="2:10" x14ac:dyDescent="0.35">
      <c r="B335" s="4" t="s">
        <v>797</v>
      </c>
      <c r="G335" s="22"/>
      <c r="H335" s="23"/>
      <c r="I335" s="21"/>
      <c r="J335" s="21"/>
    </row>
    <row r="336" spans="2:10" x14ac:dyDescent="0.35">
      <c r="B336" s="4" t="s">
        <v>777</v>
      </c>
      <c r="G336" s="22"/>
      <c r="H336" s="23"/>
      <c r="I336" s="21"/>
      <c r="J336" s="21"/>
    </row>
    <row r="337" spans="2:10" x14ac:dyDescent="0.35">
      <c r="B337" s="4" t="s">
        <v>778</v>
      </c>
      <c r="F337" s="122"/>
      <c r="G337" s="22"/>
      <c r="H337" s="305"/>
      <c r="I337" s="21"/>
      <c r="J337" s="21"/>
    </row>
    <row r="338" spans="2:10" x14ac:dyDescent="0.35">
      <c r="B338" s="4" t="s">
        <v>779</v>
      </c>
      <c r="G338" s="22"/>
      <c r="H338" s="23"/>
      <c r="I338" s="21"/>
      <c r="J338" s="21"/>
    </row>
    <row r="339" spans="2:10" x14ac:dyDescent="0.35">
      <c r="F339" s="13" t="s">
        <v>999</v>
      </c>
      <c r="H339" s="23"/>
      <c r="I339" s="21"/>
      <c r="J339" s="21"/>
    </row>
    <row r="340" spans="2:10" ht="16" thickBot="1" x14ac:dyDescent="0.4">
      <c r="B340" s="86" t="s">
        <v>17</v>
      </c>
      <c r="C340" s="4" t="s">
        <v>773</v>
      </c>
      <c r="G340" s="22"/>
      <c r="H340" s="23"/>
      <c r="I340" s="21"/>
      <c r="J340" s="21"/>
    </row>
    <row r="341" spans="2:10" ht="16" thickBot="1" x14ac:dyDescent="0.4">
      <c r="B341" s="86" t="s">
        <v>17</v>
      </c>
      <c r="C341" s="257">
        <f>1.4*C345*C343 - C346 - C345*C344*C343^1.4</f>
        <v>1.9660010366351344E-6</v>
      </c>
      <c r="E341" s="2" t="s">
        <v>776</v>
      </c>
      <c r="H341" s="23"/>
      <c r="I341" s="21"/>
      <c r="J341" s="21"/>
    </row>
    <row r="342" spans="2:10" ht="16" thickBot="1" x14ac:dyDescent="0.4">
      <c r="B342" s="4" t="s">
        <v>809</v>
      </c>
      <c r="C342" s="4"/>
      <c r="D342" s="2"/>
      <c r="E342" s="2"/>
      <c r="G342" s="164"/>
      <c r="H342" s="23"/>
      <c r="I342" s="21"/>
      <c r="J342" s="21"/>
    </row>
    <row r="343" spans="2:10" ht="16" thickBot="1" x14ac:dyDescent="0.4">
      <c r="B343" s="271" t="s">
        <v>762</v>
      </c>
      <c r="C343" s="259">
        <v>7.1690308293430857E-2</v>
      </c>
      <c r="D343" s="272" t="s">
        <v>75</v>
      </c>
      <c r="G343" s="22"/>
      <c r="H343" s="23"/>
      <c r="I343" s="21"/>
      <c r="J343" s="21"/>
    </row>
    <row r="344" spans="2:10" x14ac:dyDescent="0.35">
      <c r="B344" s="86" t="s">
        <v>768</v>
      </c>
      <c r="C344" s="137">
        <f>C290</f>
        <v>1.1880096237591504</v>
      </c>
      <c r="D344" s="2"/>
      <c r="G344" s="22"/>
      <c r="H344" s="23"/>
      <c r="I344" s="21"/>
      <c r="J344" s="21"/>
    </row>
    <row r="345" spans="2:10" x14ac:dyDescent="0.35">
      <c r="B345" s="86" t="s">
        <v>769</v>
      </c>
      <c r="C345" s="93">
        <f>C295</f>
        <v>39859.294366993629</v>
      </c>
      <c r="D345" s="2"/>
      <c r="G345" s="22"/>
      <c r="H345" s="23"/>
      <c r="I345" s="21"/>
      <c r="J345" s="21"/>
    </row>
    <row r="346" spans="2:10" x14ac:dyDescent="0.35">
      <c r="B346" s="86" t="s">
        <v>770</v>
      </c>
      <c r="C346" s="93">
        <f>C305</f>
        <v>2817.5094055024824</v>
      </c>
      <c r="D346" s="2"/>
      <c r="G346" s="22"/>
      <c r="H346" s="23"/>
      <c r="I346" s="21"/>
      <c r="J346" s="21"/>
    </row>
    <row r="347" spans="2:10" x14ac:dyDescent="0.35">
      <c r="D347" s="2"/>
      <c r="G347" s="22"/>
      <c r="H347" s="23"/>
      <c r="I347" s="21"/>
      <c r="J347" s="21"/>
    </row>
    <row r="348" spans="2:10" x14ac:dyDescent="0.35">
      <c r="B348" s="86" t="s">
        <v>689</v>
      </c>
      <c r="C348" s="4" t="s">
        <v>754</v>
      </c>
      <c r="D348" s="122" t="s">
        <v>730</v>
      </c>
      <c r="G348" s="22"/>
      <c r="H348" s="23"/>
      <c r="I348" s="21"/>
      <c r="J348" s="21"/>
    </row>
    <row r="349" spans="2:10" ht="16" thickBot="1" x14ac:dyDescent="0.4">
      <c r="B349" s="273" t="s">
        <v>4</v>
      </c>
      <c r="C349" s="274">
        <f>$C$203*$C$201</f>
        <v>2857.5251015284052</v>
      </c>
      <c r="D349" s="272" t="s">
        <v>10</v>
      </c>
      <c r="G349" s="22"/>
      <c r="H349" s="23"/>
      <c r="I349" s="21"/>
      <c r="J349" s="21"/>
    </row>
    <row r="350" spans="2:10" x14ac:dyDescent="0.35">
      <c r="D350" s="2"/>
      <c r="G350" s="22"/>
      <c r="H350" s="23"/>
      <c r="I350" s="21"/>
      <c r="J350" s="21"/>
    </row>
    <row r="351" spans="2:10" x14ac:dyDescent="0.35">
      <c r="B351" s="86" t="s">
        <v>690</v>
      </c>
      <c r="C351" s="4" t="s">
        <v>755</v>
      </c>
      <c r="D351" s="122" t="s">
        <v>731</v>
      </c>
      <c r="F351" s="122"/>
      <c r="G351" s="22"/>
      <c r="H351" s="23"/>
      <c r="I351" s="21"/>
      <c r="J351" s="21"/>
    </row>
    <row r="352" spans="2:10" ht="16" thickBot="1" x14ac:dyDescent="0.4">
      <c r="B352" s="273" t="s">
        <v>4</v>
      </c>
      <c r="C352" s="274">
        <f>$C$202*$C$207*$C$201^0.4</f>
        <v>1183.0257346712669</v>
      </c>
      <c r="D352" s="272" t="s">
        <v>10</v>
      </c>
      <c r="F352" s="122"/>
      <c r="G352" s="22"/>
      <c r="H352" s="23"/>
      <c r="I352" s="21"/>
      <c r="J352" s="21"/>
    </row>
    <row r="353" spans="2:10" x14ac:dyDescent="0.35">
      <c r="B353" s="86"/>
      <c r="C353" s="4"/>
      <c r="G353" s="22"/>
      <c r="H353" s="23"/>
      <c r="I353" s="21"/>
      <c r="J353" s="21"/>
    </row>
    <row r="354" spans="2:10" x14ac:dyDescent="0.35">
      <c r="B354" s="86" t="s">
        <v>810</v>
      </c>
      <c r="C354" s="4" t="s">
        <v>811</v>
      </c>
      <c r="D354" s="2"/>
      <c r="G354" s="22"/>
      <c r="H354" s="23"/>
      <c r="I354" s="21"/>
      <c r="J354" s="21"/>
    </row>
    <row r="355" spans="2:10" x14ac:dyDescent="0.35">
      <c r="B355" s="86" t="s">
        <v>4</v>
      </c>
      <c r="C355" s="166">
        <f>C343/C277</f>
        <v>1.9851021056399161</v>
      </c>
      <c r="D355" s="2"/>
      <c r="G355" s="22"/>
      <c r="H355" s="23"/>
      <c r="I355" s="21"/>
      <c r="J355" s="21"/>
    </row>
    <row r="356" spans="2:10" ht="16" thickBot="1" x14ac:dyDescent="0.4">
      <c r="B356" s="86" t="s">
        <v>812</v>
      </c>
      <c r="C356" s="4" t="s">
        <v>819</v>
      </c>
      <c r="D356" s="2"/>
      <c r="G356" s="22"/>
      <c r="H356" s="23"/>
      <c r="I356" s="21"/>
      <c r="J356" s="21"/>
    </row>
    <row r="357" spans="2:10" ht="16" thickBot="1" x14ac:dyDescent="0.4">
      <c r="B357" s="86" t="s">
        <v>4</v>
      </c>
      <c r="C357" s="377">
        <f>1-((1/(C264^(C279-1))*((C355^C279-1)/(C279*(C355-1)))))</f>
        <v>0.62377199782076054</v>
      </c>
      <c r="D357" s="2"/>
      <c r="G357" s="22"/>
      <c r="H357" s="23"/>
      <c r="I357" s="21"/>
      <c r="J357" s="21"/>
    </row>
    <row r="358" spans="2:10" ht="16" thickBot="1" x14ac:dyDescent="0.4">
      <c r="B358" s="86" t="s">
        <v>813</v>
      </c>
      <c r="C358" s="4" t="s">
        <v>697</v>
      </c>
      <c r="D358" s="2"/>
      <c r="G358" s="22"/>
      <c r="H358" s="23"/>
      <c r="I358" s="21"/>
      <c r="J358" s="21"/>
    </row>
    <row r="359" spans="2:10" ht="16" thickBot="1" x14ac:dyDescent="0.4">
      <c r="B359" s="86" t="s">
        <v>4</v>
      </c>
      <c r="C359" s="378">
        <f>C267 / (C275 - C277)</f>
        <v>1465.9393073979716</v>
      </c>
      <c r="D359" s="2" t="s">
        <v>28</v>
      </c>
      <c r="G359" s="22"/>
      <c r="H359" s="23"/>
      <c r="I359" s="21"/>
      <c r="J359" s="21"/>
    </row>
    <row r="360" spans="2:10" x14ac:dyDescent="0.35">
      <c r="B360" s="86" t="s">
        <v>818</v>
      </c>
      <c r="C360" s="4" t="s">
        <v>814</v>
      </c>
      <c r="D360" s="2"/>
      <c r="G360" s="22"/>
      <c r="H360" s="23"/>
      <c r="I360" s="21"/>
      <c r="J360" s="21"/>
    </row>
    <row r="361" spans="2:10" x14ac:dyDescent="0.35">
      <c r="B361" s="86" t="s">
        <v>4</v>
      </c>
      <c r="C361" s="94">
        <f>C275 / C343</f>
        <v>9.0675436537293557</v>
      </c>
      <c r="D361" s="2"/>
      <c r="G361" s="22"/>
      <c r="H361" s="23"/>
      <c r="I361" s="21"/>
      <c r="J361" s="21"/>
    </row>
    <row r="362" spans="2:10" ht="16" thickBot="1" x14ac:dyDescent="0.4">
      <c r="B362" s="86" t="s">
        <v>816</v>
      </c>
      <c r="C362" s="4" t="s">
        <v>815</v>
      </c>
      <c r="D362" s="2"/>
      <c r="G362" s="22"/>
      <c r="H362" s="23"/>
      <c r="I362" s="21"/>
      <c r="J362" s="21"/>
    </row>
    <row r="363" spans="2:10" ht="16" thickBot="1" x14ac:dyDescent="0.4">
      <c r="B363" s="86" t="s">
        <v>4</v>
      </c>
      <c r="C363" s="377">
        <f>1 - (1 / (C361^(C279-1)))</f>
        <v>0.58599638056075221</v>
      </c>
      <c r="D363" s="2"/>
      <c r="G363" s="22"/>
      <c r="H363" s="23"/>
      <c r="I363" s="21"/>
      <c r="J363" s="21"/>
    </row>
    <row r="364" spans="2:10" x14ac:dyDescent="0.35">
      <c r="G364" s="22"/>
      <c r="H364" s="23"/>
      <c r="I364" s="21"/>
      <c r="J364" s="21"/>
    </row>
    <row r="365" spans="2:10" x14ac:dyDescent="0.35">
      <c r="G365" s="22"/>
      <c r="H365" s="23"/>
      <c r="I365" s="21"/>
      <c r="J365" s="21"/>
    </row>
    <row r="366" spans="2:10" x14ac:dyDescent="0.35">
      <c r="G366" s="22"/>
      <c r="H366" s="23"/>
      <c r="I366" s="21"/>
      <c r="J366" s="21"/>
    </row>
    <row r="367" spans="2:10" x14ac:dyDescent="0.35">
      <c r="G367" s="22"/>
      <c r="H367" s="23"/>
      <c r="I367" s="21"/>
      <c r="J367" s="21"/>
    </row>
    <row r="368" spans="2:10" x14ac:dyDescent="0.35">
      <c r="G368" s="22"/>
      <c r="H368" s="23"/>
      <c r="I368" s="21"/>
      <c r="J368" s="21"/>
    </row>
    <row r="369" spans="3:10" x14ac:dyDescent="0.35">
      <c r="G369" s="22"/>
      <c r="H369" s="23"/>
      <c r="I369" s="21"/>
      <c r="J369" s="21"/>
    </row>
    <row r="370" spans="3:10" x14ac:dyDescent="0.35">
      <c r="G370" s="22"/>
      <c r="H370" s="23"/>
      <c r="I370" s="21"/>
      <c r="J370" s="21"/>
    </row>
    <row r="371" spans="3:10" x14ac:dyDescent="0.35">
      <c r="G371" s="22"/>
      <c r="H371" s="23"/>
      <c r="I371" s="21"/>
      <c r="J371" s="21"/>
    </row>
    <row r="372" spans="3:10" x14ac:dyDescent="0.35">
      <c r="G372" s="22"/>
      <c r="H372" s="23"/>
      <c r="I372" s="21"/>
      <c r="J372" s="21"/>
    </row>
    <row r="373" spans="3:10" x14ac:dyDescent="0.35">
      <c r="G373" s="22"/>
      <c r="H373" s="23"/>
      <c r="I373" s="21"/>
      <c r="J373" s="21"/>
    </row>
    <row r="374" spans="3:10" x14ac:dyDescent="0.35">
      <c r="G374" s="22"/>
      <c r="H374" s="23"/>
      <c r="I374" s="21"/>
      <c r="J374" s="21"/>
    </row>
    <row r="375" spans="3:10" x14ac:dyDescent="0.35">
      <c r="G375" s="22"/>
      <c r="H375" s="23"/>
      <c r="I375" s="21"/>
      <c r="J375" s="21"/>
    </row>
    <row r="376" spans="3:10" x14ac:dyDescent="0.35">
      <c r="G376" s="22"/>
      <c r="H376" s="23"/>
      <c r="I376" s="21"/>
      <c r="J376" s="21"/>
    </row>
    <row r="377" spans="3:10" x14ac:dyDescent="0.35">
      <c r="G377" s="22"/>
      <c r="H377" s="23"/>
      <c r="I377" s="21"/>
      <c r="J377" s="21"/>
    </row>
    <row r="378" spans="3:10" x14ac:dyDescent="0.35">
      <c r="G378" s="22"/>
      <c r="H378" s="23"/>
      <c r="I378" s="21"/>
      <c r="J378" s="21"/>
    </row>
    <row r="379" spans="3:10" x14ac:dyDescent="0.35">
      <c r="G379" s="22"/>
      <c r="H379" s="23"/>
      <c r="I379" s="21"/>
      <c r="J379" s="21"/>
    </row>
    <row r="380" spans="3:10" x14ac:dyDescent="0.35">
      <c r="G380" s="22"/>
      <c r="H380" s="23"/>
      <c r="I380" s="21"/>
      <c r="J380" s="21"/>
    </row>
    <row r="381" spans="3:10" x14ac:dyDescent="0.35">
      <c r="C381" s="27" t="s">
        <v>980</v>
      </c>
      <c r="G381" s="22"/>
      <c r="H381" s="23"/>
      <c r="I381" s="21"/>
      <c r="J381" s="21"/>
    </row>
    <row r="382" spans="3:10" x14ac:dyDescent="0.35">
      <c r="H382" s="23"/>
      <c r="I382" s="21"/>
      <c r="J382" s="21"/>
    </row>
    <row r="383" spans="3:10" x14ac:dyDescent="0.35">
      <c r="H383" s="23"/>
      <c r="I383" s="21"/>
      <c r="J383" s="21"/>
    </row>
    <row r="384" spans="3:10" x14ac:dyDescent="0.35">
      <c r="H384" s="23"/>
      <c r="I384" s="21"/>
      <c r="J384" s="21"/>
    </row>
    <row r="385" spans="7:10" x14ac:dyDescent="0.35">
      <c r="H385" s="23"/>
      <c r="I385" s="21"/>
      <c r="J385" s="21"/>
    </row>
    <row r="386" spans="7:10" x14ac:dyDescent="0.35">
      <c r="H386" s="23"/>
      <c r="I386" s="21"/>
      <c r="J386" s="21"/>
    </row>
    <row r="387" spans="7:10" x14ac:dyDescent="0.35">
      <c r="H387" s="23"/>
      <c r="I387" s="21"/>
      <c r="J387" s="21"/>
    </row>
    <row r="388" spans="7:10" x14ac:dyDescent="0.35">
      <c r="H388" s="23"/>
      <c r="I388" s="21"/>
      <c r="J388" s="21"/>
    </row>
    <row r="389" spans="7:10" x14ac:dyDescent="0.35">
      <c r="H389" s="23"/>
      <c r="I389" s="21"/>
      <c r="J389" s="21"/>
    </row>
    <row r="390" spans="7:10" x14ac:dyDescent="0.35">
      <c r="H390" s="23"/>
      <c r="I390" s="21"/>
      <c r="J390" s="21"/>
    </row>
    <row r="391" spans="7:10" x14ac:dyDescent="0.35">
      <c r="H391" s="23"/>
      <c r="I391" s="21"/>
      <c r="J391" s="21"/>
    </row>
    <row r="392" spans="7:10" x14ac:dyDescent="0.35">
      <c r="G392" s="22"/>
      <c r="H392" s="23"/>
      <c r="I392" s="21"/>
      <c r="J392" s="21"/>
    </row>
    <row r="393" spans="7:10" x14ac:dyDescent="0.35">
      <c r="H393" s="23"/>
      <c r="I393" s="21"/>
      <c r="J393" s="21"/>
    </row>
    <row r="394" spans="7:10" x14ac:dyDescent="0.35">
      <c r="H394" s="23"/>
      <c r="I394" s="21"/>
      <c r="J394" s="21"/>
    </row>
    <row r="395" spans="7:10" x14ac:dyDescent="0.35">
      <c r="H395" s="23"/>
      <c r="I395" s="21"/>
      <c r="J395" s="21"/>
    </row>
    <row r="396" spans="7:10" x14ac:dyDescent="0.35">
      <c r="H396" s="23"/>
      <c r="I396" s="21"/>
      <c r="J396" s="21"/>
    </row>
    <row r="397" spans="7:10" x14ac:dyDescent="0.35">
      <c r="H397" s="23"/>
      <c r="I397" s="21"/>
      <c r="J397" s="21"/>
    </row>
    <row r="398" spans="7:10" x14ac:dyDescent="0.35">
      <c r="H398" s="23"/>
      <c r="I398" s="21"/>
      <c r="J398" s="21"/>
    </row>
    <row r="399" spans="7:10" x14ac:dyDescent="0.35">
      <c r="H399" s="23"/>
      <c r="I399" s="21"/>
      <c r="J399" s="21"/>
    </row>
    <row r="400" spans="7:10" x14ac:dyDescent="0.35">
      <c r="H400" s="23"/>
      <c r="I400" s="21"/>
      <c r="J400" s="21"/>
    </row>
    <row r="401" spans="2:10" x14ac:dyDescent="0.35">
      <c r="H401" s="23"/>
      <c r="I401" s="21"/>
      <c r="J401" s="21"/>
    </row>
    <row r="402" spans="2:10" x14ac:dyDescent="0.35">
      <c r="H402" s="23"/>
      <c r="I402" s="21"/>
      <c r="J402" s="21"/>
    </row>
    <row r="403" spans="2:10" x14ac:dyDescent="0.35">
      <c r="B403" s="4"/>
      <c r="G403" s="22"/>
      <c r="H403" s="23"/>
      <c r="I403" s="21"/>
      <c r="J403" s="21"/>
    </row>
    <row r="404" spans="2:10" x14ac:dyDescent="0.35">
      <c r="G404" s="22"/>
      <c r="H404" s="23"/>
      <c r="I404" s="21"/>
      <c r="J404" s="21"/>
    </row>
    <row r="405" spans="2:10" x14ac:dyDescent="0.35">
      <c r="G405" s="22"/>
      <c r="H405" s="23"/>
      <c r="I405" s="21"/>
      <c r="J405" s="21"/>
    </row>
    <row r="406" spans="2:10" x14ac:dyDescent="0.35">
      <c r="G406" s="22"/>
      <c r="H406" s="23"/>
      <c r="I406" s="21"/>
      <c r="J406" s="21"/>
    </row>
    <row r="407" spans="2:10" x14ac:dyDescent="0.35">
      <c r="G407" s="22"/>
      <c r="H407" s="23"/>
      <c r="I407" s="21"/>
      <c r="J407" s="21"/>
    </row>
    <row r="408" spans="2:10" x14ac:dyDescent="0.35">
      <c r="G408" s="22"/>
      <c r="H408" s="23"/>
      <c r="I408" s="21"/>
      <c r="J408" s="21"/>
    </row>
    <row r="409" spans="2:10" x14ac:dyDescent="0.35">
      <c r="G409" s="22"/>
      <c r="H409" s="23"/>
      <c r="I409" s="21"/>
      <c r="J409" s="21"/>
    </row>
    <row r="410" spans="2:10" x14ac:dyDescent="0.35">
      <c r="G410" s="22"/>
      <c r="H410" s="23"/>
      <c r="I410" s="21"/>
      <c r="J410" s="21"/>
    </row>
    <row r="411" spans="2:10" x14ac:dyDescent="0.35">
      <c r="G411" s="22"/>
      <c r="H411" s="23"/>
      <c r="I411" s="21"/>
      <c r="J411" s="21"/>
    </row>
    <row r="412" spans="2:10" x14ac:dyDescent="0.35">
      <c r="G412" s="22"/>
      <c r="H412" s="23"/>
      <c r="I412" s="21"/>
      <c r="J412" s="21"/>
    </row>
    <row r="413" spans="2:10" x14ac:dyDescent="0.35">
      <c r="G413" s="22"/>
      <c r="H413" s="23"/>
      <c r="I413" s="21"/>
      <c r="J413" s="21"/>
    </row>
    <row r="414" spans="2:10" x14ac:dyDescent="0.35">
      <c r="G414" s="22"/>
      <c r="H414" s="23"/>
      <c r="I414" s="21"/>
      <c r="J414" s="21"/>
    </row>
  </sheetData>
  <sheetProtection sheet="1" objects="1" scenarios="1" selectLockedCells="1"/>
  <phoneticPr fontId="4" type="noConversion"/>
  <pageMargins left="0.75" right="0.75" top="1" bottom="1" header="0.5" footer="0.5"/>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U450"/>
  <sheetViews>
    <sheetView workbookViewId="0">
      <selection activeCell="G2" sqref="G2"/>
    </sheetView>
  </sheetViews>
  <sheetFormatPr defaultRowHeight="15.5" x14ac:dyDescent="0.35"/>
  <cols>
    <col min="1" max="1" width="6.7265625" style="20" customWidth="1"/>
    <col min="2" max="2" width="54.453125" style="190" customWidth="1"/>
    <col min="3" max="3" width="17.453125" style="27" customWidth="1"/>
    <col min="4" max="4" width="12.453125" style="27" bestFit="1" customWidth="1"/>
    <col min="5" max="5" width="8.7265625" style="20"/>
    <col min="6" max="6" width="15.26953125" style="20" customWidth="1"/>
    <col min="7" max="7" width="25.7265625" style="20" customWidth="1"/>
    <col min="8" max="8" width="15.26953125" style="20" customWidth="1"/>
    <col min="9" max="9" width="14.7265625" style="20" customWidth="1"/>
    <col min="10" max="10" width="17.7265625" style="20" customWidth="1"/>
    <col min="11" max="11" width="11.26953125" style="20" customWidth="1"/>
    <col min="12" max="12" width="8.7265625" style="20"/>
    <col min="13" max="13" width="14.54296875" style="20" customWidth="1"/>
    <col min="14" max="16" width="8.7265625" style="20"/>
    <col min="17" max="17" width="41.81640625" style="20" customWidth="1"/>
    <col min="18" max="16384" width="8.7265625" style="20"/>
  </cols>
  <sheetData>
    <row r="1" spans="2:17" ht="20" x14ac:dyDescent="0.4">
      <c r="B1" s="412" t="s">
        <v>72</v>
      </c>
      <c r="C1" s="236"/>
      <c r="D1" s="236"/>
      <c r="E1" s="21"/>
      <c r="F1" s="21"/>
      <c r="G1" s="21"/>
      <c r="H1" s="21"/>
      <c r="I1" s="21"/>
      <c r="J1" s="21"/>
      <c r="K1" s="21"/>
      <c r="L1" s="21"/>
      <c r="M1" s="21"/>
      <c r="N1" s="21"/>
      <c r="O1" s="21"/>
      <c r="P1" s="21"/>
      <c r="Q1" s="21"/>
    </row>
    <row r="2" spans="2:17" x14ac:dyDescent="0.35">
      <c r="B2" s="326"/>
      <c r="C2" s="236"/>
      <c r="D2" s="236"/>
      <c r="E2" s="21"/>
      <c r="F2" s="21"/>
      <c r="G2" s="21"/>
      <c r="H2" s="21"/>
      <c r="I2" s="21"/>
      <c r="J2" s="21"/>
      <c r="K2" s="21"/>
      <c r="L2" s="21"/>
      <c r="M2" s="21"/>
      <c r="N2" s="21"/>
      <c r="O2" s="21"/>
      <c r="P2" s="21"/>
      <c r="Q2" s="21"/>
    </row>
    <row r="3" spans="2:17" x14ac:dyDescent="0.35">
      <c r="B3" s="244"/>
      <c r="C3" s="236"/>
      <c r="D3" s="236"/>
      <c r="E3" s="21"/>
      <c r="F3" s="21"/>
      <c r="G3" s="21"/>
      <c r="H3" s="21"/>
      <c r="I3" s="21"/>
      <c r="J3" s="21"/>
      <c r="K3" s="21"/>
      <c r="L3" s="21"/>
      <c r="M3" s="21"/>
      <c r="N3" s="21"/>
      <c r="O3" s="21"/>
      <c r="P3" s="21"/>
      <c r="Q3" s="21"/>
    </row>
    <row r="4" spans="2:17" x14ac:dyDescent="0.35">
      <c r="C4" s="236"/>
      <c r="D4" s="236"/>
      <c r="E4" s="21"/>
      <c r="F4" s="21"/>
      <c r="G4" s="21"/>
      <c r="H4" s="47"/>
      <c r="I4" s="21"/>
      <c r="J4" s="21"/>
      <c r="K4" s="21"/>
      <c r="L4" s="21"/>
      <c r="M4" s="21"/>
      <c r="N4" s="21"/>
      <c r="O4" s="21"/>
      <c r="P4" s="21"/>
      <c r="Q4" s="21"/>
    </row>
    <row r="5" spans="2:17" x14ac:dyDescent="0.35">
      <c r="B5" s="240"/>
      <c r="C5" s="236"/>
      <c r="D5" s="236"/>
      <c r="E5" s="21"/>
      <c r="F5" s="21"/>
      <c r="G5" s="21"/>
      <c r="H5" s="313"/>
      <c r="I5" s="21"/>
      <c r="J5" s="21"/>
      <c r="K5" s="21"/>
      <c r="L5" s="21"/>
      <c r="M5" s="21"/>
      <c r="N5" s="21"/>
      <c r="O5" s="21"/>
      <c r="P5" s="21"/>
      <c r="Q5" s="21"/>
    </row>
    <row r="6" spans="2:17" x14ac:dyDescent="0.35">
      <c r="B6" s="240"/>
      <c r="C6" s="236"/>
      <c r="D6" s="236"/>
      <c r="E6" s="21"/>
      <c r="F6" s="21"/>
      <c r="G6" s="21"/>
      <c r="H6" s="21"/>
      <c r="I6" s="21"/>
      <c r="J6" s="21"/>
      <c r="K6" s="21"/>
      <c r="L6" s="21"/>
      <c r="M6" s="21"/>
      <c r="N6" s="21"/>
      <c r="O6" s="21"/>
      <c r="P6" s="21"/>
      <c r="Q6" s="21"/>
    </row>
    <row r="7" spans="2:17" x14ac:dyDescent="0.35">
      <c r="B7" s="240"/>
      <c r="C7" s="236"/>
      <c r="D7" s="236"/>
      <c r="E7" s="21"/>
      <c r="F7" s="21"/>
      <c r="G7" s="21"/>
      <c r="H7" s="21"/>
      <c r="I7" s="21"/>
      <c r="J7" s="21"/>
      <c r="K7" s="21"/>
      <c r="L7" s="21"/>
      <c r="M7" s="21"/>
      <c r="N7" s="21"/>
      <c r="O7" s="21"/>
      <c r="P7" s="21"/>
      <c r="Q7" s="21"/>
    </row>
    <row r="8" spans="2:17" x14ac:dyDescent="0.35">
      <c r="B8" s="240"/>
      <c r="C8" s="236"/>
      <c r="D8" s="236"/>
      <c r="E8" s="21"/>
      <c r="F8" s="21"/>
      <c r="G8" s="21"/>
      <c r="H8" s="21"/>
      <c r="I8" s="21"/>
      <c r="J8" s="21"/>
      <c r="K8" s="21"/>
      <c r="L8" s="21"/>
      <c r="M8" s="21"/>
      <c r="N8" s="21"/>
      <c r="O8" s="21"/>
      <c r="P8" s="21"/>
      <c r="Q8" s="21"/>
    </row>
    <row r="9" spans="2:17" x14ac:dyDescent="0.35">
      <c r="B9" s="240"/>
      <c r="C9" s="236"/>
      <c r="D9" s="236"/>
      <c r="E9" s="21"/>
      <c r="F9" s="21"/>
      <c r="G9" s="21"/>
      <c r="H9" s="21"/>
      <c r="I9" s="21"/>
      <c r="J9" s="21"/>
      <c r="K9" s="21"/>
      <c r="L9" s="21"/>
      <c r="M9" s="21"/>
      <c r="N9" s="21"/>
      <c r="O9" s="21"/>
      <c r="P9" s="21"/>
      <c r="Q9" s="21"/>
    </row>
    <row r="10" spans="2:17" x14ac:dyDescent="0.35">
      <c r="B10" s="240"/>
      <c r="C10" s="236"/>
      <c r="D10" s="236"/>
      <c r="E10" s="21"/>
      <c r="F10" s="21"/>
      <c r="G10" s="21"/>
      <c r="H10" s="21"/>
      <c r="I10" s="21"/>
      <c r="J10" s="21"/>
      <c r="K10" s="21"/>
      <c r="L10" s="21"/>
      <c r="M10" s="21"/>
      <c r="N10" s="21"/>
      <c r="O10" s="21"/>
      <c r="P10" s="21"/>
      <c r="Q10" s="21"/>
    </row>
    <row r="11" spans="2:17" x14ac:dyDescent="0.35">
      <c r="B11" s="240"/>
      <c r="C11" s="236"/>
      <c r="D11" s="236"/>
      <c r="E11" s="21"/>
      <c r="F11" s="21"/>
      <c r="G11" s="21"/>
      <c r="H11" s="21"/>
      <c r="I11" s="21"/>
      <c r="J11" s="21"/>
      <c r="K11" s="21"/>
      <c r="L11" s="21"/>
      <c r="M11" s="21"/>
      <c r="N11" s="21"/>
      <c r="O11" s="21"/>
      <c r="P11" s="21"/>
      <c r="Q11" s="21"/>
    </row>
    <row r="12" spans="2:17" x14ac:dyDescent="0.35">
      <c r="B12" s="240"/>
      <c r="C12" s="236"/>
      <c r="D12" s="236"/>
      <c r="E12" s="21"/>
      <c r="F12" s="21"/>
      <c r="G12" s="21"/>
      <c r="H12" s="21"/>
      <c r="I12" s="21"/>
      <c r="J12" s="21"/>
      <c r="K12" s="21"/>
      <c r="L12" s="21"/>
      <c r="M12" s="21"/>
      <c r="N12" s="21"/>
      <c r="O12" s="21"/>
      <c r="P12" s="21"/>
      <c r="Q12" s="21"/>
    </row>
    <row r="13" spans="2:17" x14ac:dyDescent="0.35">
      <c r="B13" s="240"/>
      <c r="C13" s="236"/>
      <c r="D13" s="236"/>
      <c r="E13" s="21"/>
      <c r="F13" s="21"/>
      <c r="G13" s="21"/>
      <c r="H13" s="21"/>
      <c r="I13" s="21"/>
      <c r="J13" s="21"/>
      <c r="K13" s="21"/>
      <c r="L13" s="21"/>
      <c r="M13" s="21"/>
      <c r="N13" s="21"/>
      <c r="O13" s="21"/>
      <c r="P13" s="21"/>
      <c r="Q13" s="21"/>
    </row>
    <row r="14" spans="2:17" x14ac:dyDescent="0.35">
      <c r="B14" s="240"/>
      <c r="C14" s="236"/>
      <c r="D14" s="236"/>
      <c r="E14" s="21"/>
      <c r="F14" s="21"/>
      <c r="G14" s="21"/>
      <c r="H14" s="21"/>
      <c r="I14" s="21"/>
      <c r="J14" s="21"/>
      <c r="K14" s="21"/>
      <c r="L14" s="21"/>
      <c r="M14" s="21"/>
      <c r="N14" s="21"/>
      <c r="O14" s="21"/>
      <c r="P14" s="21"/>
      <c r="Q14" s="21"/>
    </row>
    <row r="15" spans="2:17" x14ac:dyDescent="0.35">
      <c r="B15" s="240"/>
      <c r="C15" s="236"/>
      <c r="D15" s="236"/>
      <c r="E15" s="21"/>
      <c r="F15" s="21"/>
      <c r="G15" s="21"/>
      <c r="H15" s="21"/>
      <c r="I15" s="21"/>
      <c r="J15" s="21"/>
      <c r="K15" s="21"/>
      <c r="L15" s="21"/>
      <c r="M15" s="21"/>
      <c r="N15" s="21"/>
      <c r="O15" s="21"/>
      <c r="P15" s="21"/>
      <c r="Q15" s="21"/>
    </row>
    <row r="16" spans="2:17" x14ac:dyDescent="0.35">
      <c r="B16" s="240"/>
      <c r="C16" s="236"/>
      <c r="D16" s="236"/>
      <c r="E16" s="21"/>
      <c r="F16" s="21"/>
      <c r="G16" s="21"/>
      <c r="H16" s="21"/>
      <c r="I16" s="21"/>
      <c r="J16" s="21"/>
      <c r="K16" s="21"/>
      <c r="L16" s="21"/>
      <c r="M16" s="21"/>
      <c r="N16" s="21"/>
      <c r="O16" s="21"/>
      <c r="P16" s="21"/>
      <c r="Q16" s="21"/>
    </row>
    <row r="17" spans="2:17" x14ac:dyDescent="0.35">
      <c r="B17" s="240"/>
      <c r="C17" s="236"/>
      <c r="D17" s="236"/>
      <c r="E17" s="21"/>
      <c r="F17" s="21"/>
      <c r="G17" s="21"/>
      <c r="H17" s="21"/>
      <c r="I17" s="21"/>
      <c r="J17" s="21"/>
      <c r="K17" s="21"/>
      <c r="L17" s="21"/>
      <c r="M17" s="21"/>
      <c r="N17" s="21"/>
      <c r="O17" s="21"/>
      <c r="P17" s="21"/>
      <c r="Q17" s="21"/>
    </row>
    <row r="18" spans="2:17" x14ac:dyDescent="0.35">
      <c r="B18" s="240"/>
      <c r="C18" s="236"/>
      <c r="D18" s="236"/>
      <c r="E18" s="21"/>
      <c r="F18" s="21"/>
      <c r="G18" s="21"/>
      <c r="H18" s="21"/>
      <c r="I18" s="21"/>
      <c r="J18" s="21"/>
      <c r="K18" s="21"/>
      <c r="L18" s="21"/>
      <c r="M18" s="21"/>
      <c r="N18" s="21"/>
      <c r="O18" s="21"/>
      <c r="P18" s="21"/>
      <c r="Q18" s="21"/>
    </row>
    <row r="19" spans="2:17" x14ac:dyDescent="0.35">
      <c r="B19" s="240"/>
      <c r="C19" s="236"/>
      <c r="D19" s="236"/>
      <c r="E19" s="21"/>
      <c r="F19" s="21"/>
      <c r="G19" s="21"/>
      <c r="H19" s="21"/>
      <c r="I19" s="21"/>
      <c r="J19" s="21"/>
      <c r="K19" s="21"/>
      <c r="L19" s="21"/>
      <c r="M19" s="21"/>
      <c r="N19" s="21"/>
      <c r="O19" s="21"/>
      <c r="P19" s="21"/>
      <c r="Q19" s="21"/>
    </row>
    <row r="20" spans="2:17" x14ac:dyDescent="0.35">
      <c r="B20" s="240"/>
      <c r="C20" s="236"/>
      <c r="D20" s="236"/>
      <c r="E20" s="21"/>
      <c r="F20" s="21"/>
      <c r="G20" s="21"/>
      <c r="H20" s="21"/>
      <c r="I20" s="21"/>
      <c r="J20" s="21"/>
      <c r="K20" s="21"/>
      <c r="L20" s="21"/>
      <c r="M20" s="21"/>
      <c r="N20" s="21"/>
      <c r="O20" s="21"/>
      <c r="P20" s="21"/>
      <c r="Q20" s="21"/>
    </row>
    <row r="21" spans="2:17" x14ac:dyDescent="0.35">
      <c r="B21" s="240"/>
      <c r="C21" s="236"/>
      <c r="D21" s="236"/>
      <c r="E21" s="21"/>
      <c r="F21" s="21"/>
      <c r="G21" s="21"/>
      <c r="H21" s="21"/>
      <c r="I21" s="21"/>
      <c r="J21" s="21"/>
      <c r="K21" s="21"/>
      <c r="L21" s="21"/>
      <c r="M21" s="21"/>
      <c r="N21" s="21"/>
      <c r="O21" s="21"/>
      <c r="P21" s="21"/>
      <c r="Q21" s="21"/>
    </row>
    <row r="22" spans="2:17" x14ac:dyDescent="0.35">
      <c r="B22" s="240"/>
      <c r="C22" s="236"/>
      <c r="D22" s="236"/>
      <c r="E22" s="21"/>
      <c r="F22" s="21"/>
      <c r="G22" s="21"/>
      <c r="H22" s="21"/>
      <c r="I22" s="21"/>
      <c r="J22" s="21"/>
      <c r="K22" s="21"/>
      <c r="L22" s="21"/>
      <c r="M22" s="21"/>
      <c r="N22" s="21"/>
      <c r="O22" s="21"/>
      <c r="P22" s="21"/>
      <c r="Q22" s="21"/>
    </row>
    <row r="23" spans="2:17" x14ac:dyDescent="0.35">
      <c r="B23" s="240"/>
      <c r="C23" s="236"/>
      <c r="D23" s="236"/>
      <c r="E23" s="21"/>
      <c r="F23" s="21"/>
      <c r="G23" s="21"/>
      <c r="H23" s="21"/>
      <c r="I23" s="21"/>
      <c r="J23" s="21"/>
      <c r="K23" s="21"/>
      <c r="L23" s="21"/>
      <c r="M23" s="21"/>
      <c r="N23" s="21"/>
      <c r="O23" s="21"/>
      <c r="P23" s="21"/>
      <c r="Q23" s="21"/>
    </row>
    <row r="24" spans="2:17" x14ac:dyDescent="0.35">
      <c r="B24" s="240"/>
      <c r="C24" s="236"/>
      <c r="D24" s="236"/>
      <c r="E24" s="21"/>
      <c r="F24" s="21"/>
      <c r="G24" s="21"/>
      <c r="H24" s="21"/>
      <c r="I24" s="21"/>
      <c r="J24" s="21"/>
      <c r="K24" s="21"/>
      <c r="L24" s="21"/>
      <c r="M24" s="21"/>
      <c r="N24" s="21"/>
      <c r="O24" s="21"/>
      <c r="P24" s="21"/>
      <c r="Q24" s="21"/>
    </row>
    <row r="25" spans="2:17" x14ac:dyDescent="0.35">
      <c r="B25" s="240"/>
      <c r="C25" s="236"/>
      <c r="D25" s="236"/>
      <c r="E25" s="21"/>
      <c r="F25" s="21"/>
      <c r="G25" s="21"/>
      <c r="H25" s="21"/>
      <c r="I25" s="21"/>
      <c r="J25" s="21"/>
      <c r="K25" s="21"/>
      <c r="L25" s="21"/>
      <c r="M25" s="21"/>
      <c r="N25" s="21"/>
      <c r="O25" s="21"/>
      <c r="P25" s="21"/>
      <c r="Q25" s="21"/>
    </row>
    <row r="26" spans="2:17" x14ac:dyDescent="0.35">
      <c r="B26" s="240"/>
      <c r="C26" s="236"/>
      <c r="D26" s="236"/>
      <c r="E26" s="21"/>
      <c r="F26" s="21"/>
      <c r="G26" s="21"/>
      <c r="H26" s="21"/>
      <c r="I26" s="21"/>
      <c r="J26" s="21"/>
      <c r="K26" s="21"/>
      <c r="L26" s="21"/>
      <c r="M26" s="21"/>
      <c r="N26" s="21"/>
      <c r="O26" s="21"/>
      <c r="P26" s="21"/>
      <c r="Q26" s="21"/>
    </row>
    <row r="27" spans="2:17" x14ac:dyDescent="0.35">
      <c r="B27" s="240"/>
      <c r="C27" s="236"/>
      <c r="D27" s="236"/>
      <c r="E27" s="21"/>
      <c r="F27" s="21"/>
      <c r="G27" s="21"/>
      <c r="H27" s="21"/>
      <c r="I27" s="21"/>
      <c r="J27" s="21"/>
      <c r="K27" s="21"/>
      <c r="L27" s="21"/>
      <c r="M27" s="21"/>
      <c r="N27" s="21"/>
      <c r="O27" s="21"/>
      <c r="P27" s="21"/>
      <c r="Q27" s="21"/>
    </row>
    <row r="28" spans="2:17" x14ac:dyDescent="0.35">
      <c r="B28" s="240"/>
      <c r="C28" s="236"/>
      <c r="D28" s="236"/>
      <c r="E28" s="21"/>
      <c r="F28" s="21"/>
      <c r="G28" s="21"/>
      <c r="H28" s="21"/>
      <c r="I28" s="21"/>
      <c r="J28" s="21"/>
      <c r="K28" s="21"/>
      <c r="L28" s="21"/>
      <c r="M28" s="21"/>
      <c r="N28" s="21"/>
      <c r="O28" s="21"/>
      <c r="P28" s="21"/>
      <c r="Q28" s="21"/>
    </row>
    <row r="29" spans="2:17" x14ac:dyDescent="0.35">
      <c r="B29" s="240"/>
      <c r="C29" s="236"/>
      <c r="D29" s="236"/>
      <c r="E29" s="21"/>
      <c r="F29" s="21"/>
      <c r="G29" s="21"/>
      <c r="H29" s="21"/>
      <c r="I29" s="21"/>
      <c r="J29" s="21"/>
      <c r="K29" s="21"/>
      <c r="L29" s="21"/>
      <c r="M29" s="21"/>
      <c r="N29" s="21"/>
      <c r="O29" s="21"/>
      <c r="P29" s="21"/>
      <c r="Q29" s="21"/>
    </row>
    <row r="30" spans="2:17" x14ac:dyDescent="0.35">
      <c r="B30" s="240"/>
      <c r="C30" s="236"/>
      <c r="D30" s="236"/>
      <c r="E30" s="21"/>
      <c r="F30" s="21"/>
      <c r="G30" s="21"/>
      <c r="H30" s="21"/>
      <c r="I30" s="21"/>
      <c r="J30" s="21"/>
      <c r="K30" s="21"/>
      <c r="L30" s="21"/>
      <c r="M30" s="21"/>
      <c r="N30" s="21"/>
      <c r="O30" s="21"/>
      <c r="P30" s="21"/>
      <c r="Q30" s="21"/>
    </row>
    <row r="31" spans="2:17" x14ac:dyDescent="0.35">
      <c r="B31" s="240"/>
      <c r="C31" s="236"/>
      <c r="D31" s="236"/>
      <c r="E31" s="21"/>
      <c r="F31" s="21"/>
      <c r="G31" s="21"/>
      <c r="H31" s="21"/>
      <c r="I31" s="21"/>
      <c r="J31" s="21"/>
      <c r="K31" s="21"/>
      <c r="L31" s="21"/>
      <c r="M31" s="21"/>
      <c r="N31" s="21"/>
      <c r="O31" s="21"/>
      <c r="P31" s="21"/>
      <c r="Q31" s="21"/>
    </row>
    <row r="32" spans="2:17" x14ac:dyDescent="0.35">
      <c r="B32" s="240"/>
      <c r="C32" s="236"/>
      <c r="D32" s="236"/>
      <c r="E32" s="21"/>
      <c r="F32" s="21"/>
      <c r="G32" s="21"/>
      <c r="H32" s="21"/>
      <c r="I32" s="21"/>
      <c r="J32" s="21"/>
      <c r="K32" s="21"/>
      <c r="L32" s="21"/>
      <c r="M32" s="21"/>
      <c r="N32" s="21"/>
      <c r="O32" s="21"/>
      <c r="P32" s="21"/>
      <c r="Q32" s="21"/>
    </row>
    <row r="33" spans="2:17" x14ac:dyDescent="0.35">
      <c r="B33" s="240"/>
      <c r="C33" s="236"/>
      <c r="D33" s="236"/>
      <c r="E33" s="21"/>
      <c r="F33" s="21"/>
      <c r="G33" s="21"/>
      <c r="H33" s="21"/>
      <c r="I33" s="21"/>
      <c r="J33" s="21"/>
      <c r="K33" s="21"/>
      <c r="L33" s="21"/>
      <c r="M33" s="21"/>
      <c r="N33" s="21"/>
      <c r="O33" s="21"/>
      <c r="P33" s="21"/>
      <c r="Q33" s="21"/>
    </row>
    <row r="34" spans="2:17" x14ac:dyDescent="0.35">
      <c r="B34" s="240"/>
      <c r="C34" s="236"/>
      <c r="D34" s="236"/>
      <c r="E34" s="21"/>
      <c r="F34" s="21"/>
      <c r="G34" s="21"/>
      <c r="H34" s="21"/>
      <c r="I34" s="21"/>
      <c r="J34" s="21"/>
      <c r="K34" s="21"/>
      <c r="L34" s="21"/>
      <c r="M34" s="21"/>
      <c r="N34" s="21"/>
      <c r="O34" s="21"/>
      <c r="P34" s="21"/>
      <c r="Q34" s="21"/>
    </row>
    <row r="35" spans="2:17" x14ac:dyDescent="0.35">
      <c r="B35" s="240"/>
      <c r="C35" s="236"/>
      <c r="D35" s="236"/>
      <c r="E35" s="21"/>
      <c r="F35" s="21"/>
      <c r="G35" s="21"/>
      <c r="H35" s="21"/>
      <c r="I35" s="21"/>
      <c r="J35" s="21"/>
      <c r="K35" s="21"/>
      <c r="L35" s="21"/>
      <c r="M35" s="21"/>
      <c r="N35" s="21"/>
      <c r="O35" s="21"/>
      <c r="P35" s="21"/>
      <c r="Q35" s="21"/>
    </row>
    <row r="36" spans="2:17" x14ac:dyDescent="0.35">
      <c r="B36" s="240"/>
      <c r="C36" s="236"/>
      <c r="D36" s="236"/>
      <c r="E36" s="21"/>
      <c r="F36" s="21"/>
      <c r="G36" s="21"/>
      <c r="H36" s="21"/>
      <c r="I36" s="21"/>
      <c r="J36" s="21"/>
      <c r="K36" s="21"/>
      <c r="L36" s="21"/>
      <c r="M36" s="21"/>
      <c r="N36" s="21"/>
      <c r="O36" s="21"/>
      <c r="P36" s="21"/>
      <c r="Q36" s="21"/>
    </row>
    <row r="37" spans="2:17" x14ac:dyDescent="0.35">
      <c r="B37" s="240"/>
      <c r="C37" s="236"/>
      <c r="D37" s="236"/>
      <c r="E37" s="21"/>
      <c r="F37" s="21"/>
      <c r="G37" s="21"/>
      <c r="H37" s="21"/>
      <c r="I37" s="21"/>
      <c r="J37" s="21"/>
      <c r="K37" s="21"/>
      <c r="L37" s="21"/>
      <c r="M37" s="21"/>
      <c r="N37" s="21"/>
      <c r="O37" s="21"/>
      <c r="P37" s="21"/>
      <c r="Q37" s="21"/>
    </row>
    <row r="38" spans="2:17" x14ac:dyDescent="0.35">
      <c r="B38" s="240"/>
      <c r="C38" s="236"/>
      <c r="D38" s="236"/>
      <c r="E38" s="21"/>
      <c r="F38" s="21"/>
      <c r="G38" s="21"/>
      <c r="H38" s="21"/>
      <c r="I38" s="21"/>
      <c r="J38" s="21"/>
      <c r="K38" s="21"/>
      <c r="L38" s="21"/>
      <c r="M38" s="21"/>
      <c r="N38" s="21"/>
      <c r="O38" s="21"/>
      <c r="P38" s="21"/>
      <c r="Q38" s="21"/>
    </row>
    <row r="39" spans="2:17" x14ac:dyDescent="0.35">
      <c r="B39" s="240"/>
      <c r="C39" s="236"/>
      <c r="D39" s="236"/>
      <c r="E39" s="21"/>
      <c r="F39" s="21"/>
      <c r="G39" s="21"/>
      <c r="H39" s="21"/>
      <c r="I39" s="21"/>
      <c r="J39" s="21"/>
      <c r="K39" s="21"/>
      <c r="L39" s="21"/>
      <c r="M39" s="21"/>
      <c r="N39" s="21"/>
      <c r="O39" s="21"/>
      <c r="P39" s="21"/>
      <c r="Q39" s="21"/>
    </row>
    <row r="40" spans="2:17" x14ac:dyDescent="0.35">
      <c r="B40" s="240"/>
      <c r="C40" s="236"/>
      <c r="D40" s="236"/>
      <c r="E40" s="21"/>
      <c r="F40" s="21"/>
      <c r="G40" s="21"/>
      <c r="H40" s="21"/>
      <c r="I40" s="21"/>
      <c r="J40" s="21"/>
      <c r="K40" s="21"/>
      <c r="L40" s="21"/>
      <c r="M40" s="21"/>
      <c r="N40" s="21"/>
      <c r="O40" s="21"/>
      <c r="P40" s="21"/>
      <c r="Q40" s="21"/>
    </row>
    <row r="41" spans="2:17" x14ac:dyDescent="0.35">
      <c r="B41" s="240"/>
      <c r="C41" s="236"/>
      <c r="D41" s="236"/>
      <c r="E41" s="21"/>
      <c r="F41" s="21"/>
      <c r="G41" s="21"/>
      <c r="H41" s="21"/>
      <c r="I41" s="21"/>
      <c r="J41" s="21"/>
      <c r="K41" s="21"/>
      <c r="L41" s="21"/>
      <c r="M41" s="21"/>
      <c r="N41" s="21"/>
      <c r="O41" s="21"/>
      <c r="P41" s="21"/>
      <c r="Q41" s="21"/>
    </row>
    <row r="42" spans="2:17" x14ac:dyDescent="0.35">
      <c r="B42" s="240"/>
      <c r="C42" s="236"/>
      <c r="D42" s="236"/>
      <c r="E42" s="21"/>
      <c r="F42" s="21"/>
      <c r="G42" s="21"/>
      <c r="H42" s="21"/>
      <c r="I42" s="21"/>
      <c r="J42" s="21"/>
      <c r="K42" s="21"/>
      <c r="L42" s="21"/>
      <c r="M42" s="21"/>
      <c r="N42" s="21"/>
      <c r="O42" s="21"/>
      <c r="P42" s="21"/>
      <c r="Q42" s="21"/>
    </row>
    <row r="43" spans="2:17" x14ac:dyDescent="0.35">
      <c r="B43" s="240"/>
      <c r="C43" s="236"/>
      <c r="D43" s="236"/>
      <c r="E43" s="21"/>
      <c r="F43" s="21"/>
      <c r="G43" s="21"/>
      <c r="H43" s="21"/>
      <c r="I43" s="21"/>
      <c r="J43" s="21"/>
      <c r="K43" s="21"/>
      <c r="L43" s="21"/>
      <c r="M43" s="21"/>
      <c r="N43" s="21"/>
      <c r="O43" s="21"/>
      <c r="P43" s="21"/>
      <c r="Q43" s="21"/>
    </row>
    <row r="44" spans="2:17" x14ac:dyDescent="0.35">
      <c r="B44" s="240"/>
      <c r="C44" s="236"/>
      <c r="D44" s="236"/>
      <c r="E44" s="21"/>
      <c r="F44" s="21"/>
      <c r="G44" s="21"/>
      <c r="H44" s="21"/>
      <c r="I44" s="21"/>
      <c r="J44" s="21"/>
      <c r="K44" s="21"/>
      <c r="L44" s="21"/>
      <c r="M44" s="21"/>
      <c r="N44" s="21"/>
      <c r="O44" s="21"/>
      <c r="P44" s="21"/>
      <c r="Q44" s="21"/>
    </row>
    <row r="45" spans="2:17" x14ac:dyDescent="0.35">
      <c r="B45" s="240"/>
      <c r="C45" s="236"/>
      <c r="D45" s="236"/>
      <c r="E45" s="21"/>
      <c r="F45" s="21"/>
      <c r="G45" s="21"/>
      <c r="H45" s="21"/>
      <c r="I45" s="21"/>
      <c r="J45" s="21"/>
      <c r="K45" s="21"/>
      <c r="L45" s="21"/>
      <c r="M45" s="21"/>
      <c r="N45" s="21"/>
      <c r="O45" s="21"/>
      <c r="P45" s="21"/>
      <c r="Q45" s="21"/>
    </row>
    <row r="46" spans="2:17" x14ac:dyDescent="0.35">
      <c r="B46" s="240"/>
      <c r="C46" s="236"/>
      <c r="D46" s="236"/>
      <c r="E46" s="21"/>
      <c r="F46" s="21"/>
      <c r="G46" s="21"/>
      <c r="H46" s="21"/>
      <c r="I46" s="21"/>
      <c r="J46" s="21"/>
      <c r="K46" s="21"/>
      <c r="L46" s="21"/>
      <c r="M46" s="21"/>
      <c r="N46" s="21"/>
      <c r="O46" s="21"/>
      <c r="P46" s="21"/>
      <c r="Q46" s="21"/>
    </row>
    <row r="47" spans="2:17" x14ac:dyDescent="0.35">
      <c r="B47" s="240"/>
      <c r="C47" s="236"/>
      <c r="D47" s="236"/>
      <c r="E47" s="21"/>
      <c r="F47" s="21"/>
      <c r="G47" s="21"/>
      <c r="H47" s="21"/>
      <c r="I47" s="21"/>
      <c r="J47" s="21"/>
      <c r="K47" s="21"/>
      <c r="L47" s="21"/>
      <c r="M47" s="21"/>
      <c r="N47" s="21"/>
      <c r="O47" s="21"/>
      <c r="P47" s="21"/>
      <c r="Q47" s="21"/>
    </row>
    <row r="48" spans="2:17" x14ac:dyDescent="0.35">
      <c r="B48" s="240"/>
      <c r="C48" s="236"/>
      <c r="D48" s="236"/>
      <c r="E48" s="21"/>
      <c r="F48" s="21"/>
      <c r="G48" s="21"/>
      <c r="H48" s="21"/>
      <c r="I48" s="21"/>
      <c r="J48" s="21"/>
      <c r="K48" s="21"/>
      <c r="L48" s="21"/>
      <c r="M48" s="21"/>
      <c r="N48" s="21"/>
      <c r="O48" s="21"/>
      <c r="P48" s="21"/>
      <c r="Q48" s="21"/>
    </row>
    <row r="49" spans="2:17" x14ac:dyDescent="0.35">
      <c r="B49" s="240"/>
      <c r="C49" s="236"/>
      <c r="D49" s="236"/>
      <c r="E49" s="21"/>
      <c r="F49" s="21"/>
      <c r="G49" s="21"/>
      <c r="H49" s="21"/>
      <c r="I49" s="21"/>
      <c r="J49" s="21"/>
      <c r="K49" s="21"/>
      <c r="L49" s="21"/>
      <c r="M49" s="21"/>
      <c r="N49" s="21"/>
      <c r="O49" s="21"/>
      <c r="P49" s="21"/>
      <c r="Q49" s="21"/>
    </row>
    <row r="50" spans="2:17" x14ac:dyDescent="0.35">
      <c r="B50" s="240"/>
      <c r="C50" s="236"/>
      <c r="D50" s="236"/>
      <c r="E50" s="21"/>
      <c r="F50" s="21"/>
      <c r="G50" s="21"/>
      <c r="H50" s="21"/>
      <c r="I50" s="21"/>
      <c r="J50" s="21"/>
      <c r="K50" s="21"/>
      <c r="L50" s="21"/>
      <c r="M50" s="21"/>
      <c r="N50" s="21"/>
      <c r="O50" s="21"/>
      <c r="P50" s="21"/>
      <c r="Q50" s="21"/>
    </row>
    <row r="51" spans="2:17" x14ac:dyDescent="0.35">
      <c r="B51" s="240"/>
      <c r="C51" s="236"/>
      <c r="D51" s="236"/>
      <c r="E51" s="21"/>
      <c r="F51" s="21"/>
      <c r="G51" s="21"/>
      <c r="H51" s="21"/>
      <c r="I51" s="21"/>
      <c r="J51" s="21"/>
      <c r="K51" s="21"/>
      <c r="L51" s="21"/>
      <c r="M51" s="21"/>
      <c r="N51" s="21"/>
      <c r="O51" s="21"/>
      <c r="P51" s="21"/>
      <c r="Q51" s="21"/>
    </row>
    <row r="52" spans="2:17" x14ac:dyDescent="0.35">
      <c r="B52" s="240"/>
      <c r="C52" s="236"/>
      <c r="D52" s="236"/>
      <c r="E52" s="21"/>
      <c r="F52" s="21"/>
      <c r="G52" s="21"/>
      <c r="H52" s="21"/>
      <c r="I52" s="21"/>
      <c r="J52" s="21"/>
      <c r="K52" s="21"/>
      <c r="L52" s="21"/>
      <c r="M52" s="21"/>
      <c r="N52" s="21"/>
      <c r="O52" s="21"/>
      <c r="P52" s="21"/>
      <c r="Q52" s="21"/>
    </row>
    <row r="53" spans="2:17" x14ac:dyDescent="0.35">
      <c r="B53" s="240"/>
      <c r="C53" s="236"/>
      <c r="D53" s="236"/>
      <c r="E53" s="21"/>
      <c r="F53" s="21"/>
      <c r="G53" s="21"/>
      <c r="H53" s="21"/>
      <c r="I53" s="21"/>
      <c r="J53" s="21"/>
      <c r="K53" s="21"/>
      <c r="L53" s="21"/>
      <c r="M53" s="21"/>
      <c r="N53" s="21"/>
      <c r="O53" s="21"/>
      <c r="P53" s="21"/>
      <c r="Q53" s="21"/>
    </row>
    <row r="54" spans="2:17" x14ac:dyDescent="0.35">
      <c r="B54" s="240"/>
      <c r="C54" s="236"/>
      <c r="D54" s="236"/>
      <c r="E54" s="21"/>
      <c r="F54" s="21"/>
      <c r="G54" s="21"/>
      <c r="H54" s="21"/>
      <c r="I54" s="21"/>
      <c r="J54" s="21"/>
      <c r="K54" s="21"/>
      <c r="L54" s="21"/>
      <c r="M54" s="21"/>
      <c r="N54" s="21"/>
      <c r="O54" s="21"/>
      <c r="P54" s="21"/>
      <c r="Q54" s="21"/>
    </row>
    <row r="55" spans="2:17" x14ac:dyDescent="0.35">
      <c r="B55" s="240"/>
      <c r="C55" s="236"/>
      <c r="D55" s="236"/>
      <c r="E55" s="21"/>
      <c r="F55" s="21"/>
      <c r="G55" s="21"/>
      <c r="H55" s="21"/>
      <c r="I55" s="21"/>
      <c r="J55" s="21"/>
      <c r="K55" s="21"/>
      <c r="L55" s="21"/>
      <c r="M55" s="21"/>
      <c r="N55" s="21"/>
      <c r="O55" s="21"/>
      <c r="P55" s="21"/>
      <c r="Q55" s="21"/>
    </row>
    <row r="56" spans="2:17" x14ac:dyDescent="0.35">
      <c r="B56" s="240"/>
      <c r="C56" s="236"/>
      <c r="D56" s="236"/>
      <c r="E56" s="21"/>
      <c r="F56" s="21"/>
      <c r="G56" s="21"/>
      <c r="H56" s="21"/>
      <c r="I56" s="21"/>
      <c r="J56" s="21"/>
      <c r="K56" s="21"/>
      <c r="L56" s="21"/>
      <c r="M56" s="21"/>
      <c r="N56" s="21"/>
      <c r="O56" s="21"/>
      <c r="P56" s="21"/>
      <c r="Q56" s="21"/>
    </row>
    <row r="57" spans="2:17" x14ac:dyDescent="0.35">
      <c r="B57" s="240"/>
      <c r="C57" s="236"/>
      <c r="D57" s="236"/>
      <c r="E57" s="21"/>
      <c r="F57" s="21"/>
      <c r="G57" s="21"/>
      <c r="H57" s="21"/>
      <c r="I57" s="21"/>
      <c r="J57" s="21"/>
      <c r="K57" s="21"/>
      <c r="L57" s="21"/>
      <c r="M57" s="21"/>
      <c r="N57" s="21"/>
      <c r="O57" s="21"/>
      <c r="P57" s="21"/>
      <c r="Q57" s="21"/>
    </row>
    <row r="58" spans="2:17" x14ac:dyDescent="0.35">
      <c r="B58" s="240"/>
      <c r="C58" s="236"/>
      <c r="D58" s="236"/>
      <c r="E58" s="21"/>
      <c r="F58" s="21"/>
      <c r="G58" s="21"/>
      <c r="H58" s="21"/>
      <c r="I58" s="21"/>
      <c r="J58" s="21"/>
      <c r="K58" s="21"/>
      <c r="L58" s="21"/>
      <c r="M58" s="21"/>
      <c r="N58" s="21"/>
      <c r="O58" s="21"/>
      <c r="P58" s="21"/>
      <c r="Q58" s="21"/>
    </row>
    <row r="59" spans="2:17" x14ac:dyDescent="0.35">
      <c r="B59" s="240"/>
      <c r="C59" s="236"/>
      <c r="D59" s="236"/>
      <c r="E59" s="21"/>
      <c r="F59" s="21"/>
      <c r="G59" s="21"/>
      <c r="H59" s="21"/>
      <c r="I59" s="21"/>
      <c r="J59" s="21"/>
      <c r="K59" s="21"/>
      <c r="L59" s="21"/>
      <c r="M59" s="21"/>
      <c r="N59" s="21"/>
      <c r="O59" s="21"/>
      <c r="P59" s="21"/>
      <c r="Q59" s="21"/>
    </row>
    <row r="60" spans="2:17" x14ac:dyDescent="0.35">
      <c r="B60" s="240"/>
      <c r="C60" s="236"/>
      <c r="D60" s="236"/>
      <c r="E60" s="21"/>
      <c r="F60" s="21"/>
      <c r="G60" s="21"/>
      <c r="H60" s="21"/>
      <c r="I60" s="21"/>
      <c r="J60" s="21"/>
      <c r="K60" s="21"/>
      <c r="L60" s="21"/>
      <c r="M60" s="21"/>
      <c r="N60" s="21"/>
      <c r="O60" s="21"/>
      <c r="P60" s="21"/>
      <c r="Q60" s="21"/>
    </row>
    <row r="61" spans="2:17" x14ac:dyDescent="0.35">
      <c r="B61" s="240"/>
      <c r="C61" s="236"/>
      <c r="D61" s="236"/>
      <c r="E61" s="21"/>
      <c r="F61" s="21"/>
      <c r="G61" s="21"/>
      <c r="H61" s="21"/>
      <c r="I61" s="21"/>
      <c r="J61" s="21"/>
      <c r="K61" s="21"/>
      <c r="L61" s="21"/>
      <c r="M61" s="21"/>
      <c r="N61" s="21"/>
      <c r="O61" s="21"/>
      <c r="P61" s="21"/>
      <c r="Q61" s="21"/>
    </row>
    <row r="62" spans="2:17" x14ac:dyDescent="0.35">
      <c r="B62" s="240"/>
      <c r="C62" s="236"/>
      <c r="D62" s="236"/>
      <c r="E62" s="21"/>
      <c r="F62" s="21"/>
      <c r="G62" s="21"/>
      <c r="H62" s="21"/>
      <c r="I62" s="21"/>
      <c r="J62" s="21"/>
      <c r="K62" s="21"/>
      <c r="L62" s="21"/>
      <c r="M62" s="21"/>
      <c r="N62" s="21"/>
      <c r="O62" s="21"/>
      <c r="P62" s="21"/>
      <c r="Q62" s="21"/>
    </row>
    <row r="63" spans="2:17" x14ac:dyDescent="0.35">
      <c r="B63" s="240"/>
      <c r="C63" s="236"/>
      <c r="D63" s="236"/>
      <c r="E63" s="21"/>
      <c r="F63" s="21"/>
      <c r="G63" s="21"/>
      <c r="H63" s="21"/>
      <c r="I63" s="21"/>
      <c r="J63" s="21"/>
      <c r="K63" s="21"/>
      <c r="L63" s="21"/>
      <c r="M63" s="21"/>
      <c r="N63" s="21"/>
      <c r="O63" s="21"/>
      <c r="P63" s="21"/>
      <c r="Q63" s="21"/>
    </row>
    <row r="64" spans="2:17" x14ac:dyDescent="0.35">
      <c r="B64" s="240"/>
      <c r="C64" s="236"/>
      <c r="D64" s="236"/>
      <c r="E64" s="21"/>
      <c r="F64" s="21"/>
      <c r="G64" s="21"/>
      <c r="H64" s="21"/>
      <c r="I64" s="21"/>
      <c r="J64" s="21"/>
      <c r="K64" s="21"/>
      <c r="L64" s="21"/>
      <c r="M64" s="21"/>
      <c r="N64" s="21"/>
      <c r="O64" s="21"/>
      <c r="P64" s="21"/>
      <c r="Q64" s="21"/>
    </row>
    <row r="65" spans="2:17" x14ac:dyDescent="0.35">
      <c r="B65" s="240"/>
      <c r="C65" s="236"/>
      <c r="D65" s="236"/>
      <c r="E65" s="21"/>
      <c r="F65" s="21"/>
      <c r="G65" s="21"/>
      <c r="H65" s="21"/>
      <c r="I65" s="21"/>
      <c r="J65" s="21"/>
      <c r="K65" s="21"/>
      <c r="L65" s="21"/>
      <c r="M65" s="21"/>
      <c r="N65" s="21"/>
      <c r="O65" s="21"/>
      <c r="P65" s="21"/>
      <c r="Q65" s="21"/>
    </row>
    <row r="66" spans="2:17" x14ac:dyDescent="0.35">
      <c r="B66" s="240"/>
      <c r="C66" s="236"/>
      <c r="D66" s="236"/>
      <c r="E66" s="21"/>
      <c r="F66" s="21"/>
      <c r="G66" s="21"/>
      <c r="H66" s="21"/>
      <c r="I66" s="21"/>
      <c r="J66" s="21"/>
      <c r="K66" s="21"/>
      <c r="L66" s="21"/>
      <c r="M66" s="21"/>
      <c r="N66" s="21"/>
      <c r="O66" s="21"/>
      <c r="P66" s="21"/>
      <c r="Q66" s="21"/>
    </row>
    <row r="67" spans="2:17" x14ac:dyDescent="0.35">
      <c r="B67" s="240"/>
      <c r="C67" s="236"/>
      <c r="D67" s="236"/>
      <c r="E67" s="21"/>
      <c r="F67" s="21"/>
      <c r="G67" s="21"/>
      <c r="H67" s="21"/>
      <c r="I67" s="21"/>
      <c r="J67" s="21"/>
      <c r="K67" s="21"/>
      <c r="L67" s="21"/>
      <c r="M67" s="21"/>
      <c r="N67" s="21"/>
      <c r="O67" s="21"/>
      <c r="P67" s="21"/>
      <c r="Q67" s="21"/>
    </row>
    <row r="68" spans="2:17" x14ac:dyDescent="0.35">
      <c r="B68" s="240"/>
      <c r="C68" s="236"/>
      <c r="D68" s="236"/>
      <c r="E68" s="21"/>
      <c r="F68" s="21"/>
      <c r="G68" s="21"/>
      <c r="H68" s="21"/>
      <c r="I68" s="21"/>
      <c r="J68" s="21"/>
      <c r="K68" s="21"/>
      <c r="L68" s="21"/>
      <c r="M68" s="21"/>
      <c r="N68" s="21"/>
      <c r="O68" s="21"/>
      <c r="P68" s="21"/>
      <c r="Q68" s="21"/>
    </row>
    <row r="69" spans="2:17" x14ac:dyDescent="0.35">
      <c r="B69" s="240"/>
      <c r="C69" s="236"/>
      <c r="D69" s="236"/>
      <c r="E69" s="21"/>
      <c r="F69" s="21"/>
      <c r="G69" s="21"/>
      <c r="H69" s="21"/>
      <c r="I69" s="21"/>
      <c r="J69" s="21"/>
      <c r="K69" s="21"/>
      <c r="L69" s="21"/>
      <c r="M69" s="21"/>
      <c r="N69" s="21"/>
      <c r="O69" s="21"/>
      <c r="P69" s="21"/>
      <c r="Q69" s="21"/>
    </row>
    <row r="70" spans="2:17" x14ac:dyDescent="0.35">
      <c r="B70" s="240"/>
      <c r="C70" s="236"/>
      <c r="D70" s="236"/>
      <c r="E70" s="21"/>
      <c r="F70" s="21"/>
      <c r="G70" s="21"/>
      <c r="H70" s="21"/>
      <c r="I70" s="21"/>
      <c r="J70" s="21"/>
      <c r="K70" s="21"/>
      <c r="L70" s="21"/>
      <c r="M70" s="21"/>
      <c r="N70" s="21"/>
      <c r="O70" s="21"/>
      <c r="P70" s="21"/>
      <c r="Q70" s="21"/>
    </row>
    <row r="71" spans="2:17" x14ac:dyDescent="0.35">
      <c r="B71" s="240"/>
      <c r="C71" s="236"/>
      <c r="D71" s="236"/>
      <c r="E71" s="21"/>
      <c r="F71" s="21"/>
      <c r="G71" s="21"/>
      <c r="H71" s="21"/>
      <c r="I71" s="21"/>
      <c r="J71" s="21"/>
      <c r="K71" s="21"/>
      <c r="L71" s="21"/>
      <c r="M71" s="21"/>
      <c r="N71" s="21"/>
      <c r="O71" s="21"/>
      <c r="P71" s="21"/>
      <c r="Q71" s="21"/>
    </row>
    <row r="72" spans="2:17" x14ac:dyDescent="0.35">
      <c r="B72" s="240"/>
      <c r="C72" s="236"/>
      <c r="D72" s="236"/>
      <c r="E72" s="21"/>
      <c r="F72" s="21"/>
      <c r="G72" s="21"/>
      <c r="H72" s="21"/>
      <c r="I72" s="21"/>
      <c r="J72" s="21"/>
      <c r="K72" s="21"/>
      <c r="L72" s="21"/>
      <c r="M72" s="21"/>
      <c r="N72" s="21"/>
      <c r="O72" s="21"/>
      <c r="P72" s="21"/>
      <c r="Q72" s="21"/>
    </row>
    <row r="73" spans="2:17" x14ac:dyDescent="0.35">
      <c r="B73" s="240"/>
      <c r="C73" s="236"/>
      <c r="D73" s="236"/>
      <c r="E73" s="21"/>
      <c r="F73" s="21"/>
      <c r="G73" s="21"/>
      <c r="H73" s="21"/>
      <c r="I73" s="21"/>
      <c r="J73" s="21"/>
      <c r="K73" s="21"/>
      <c r="L73" s="21"/>
      <c r="M73" s="21"/>
      <c r="N73" s="21"/>
      <c r="O73" s="21"/>
      <c r="P73" s="21"/>
      <c r="Q73" s="21"/>
    </row>
    <row r="74" spans="2:17" x14ac:dyDescent="0.35">
      <c r="B74" s="240"/>
      <c r="C74" s="236"/>
      <c r="D74" s="236"/>
      <c r="E74" s="21"/>
      <c r="F74" s="21"/>
      <c r="G74" s="21"/>
      <c r="H74" s="21"/>
      <c r="I74" s="21"/>
      <c r="J74" s="21"/>
      <c r="K74" s="21"/>
      <c r="L74" s="21"/>
      <c r="M74" s="21"/>
      <c r="N74" s="21"/>
      <c r="O74" s="21"/>
      <c r="P74" s="21"/>
      <c r="Q74" s="21"/>
    </row>
    <row r="75" spans="2:17" x14ac:dyDescent="0.35">
      <c r="B75" s="240"/>
      <c r="C75" s="236"/>
      <c r="D75" s="236"/>
      <c r="E75" s="21"/>
      <c r="F75" s="21"/>
      <c r="G75" s="21"/>
      <c r="H75" s="21"/>
      <c r="I75" s="21"/>
      <c r="J75" s="21"/>
      <c r="K75" s="21"/>
      <c r="L75" s="21"/>
      <c r="M75" s="21"/>
      <c r="N75" s="21"/>
      <c r="O75" s="21"/>
      <c r="P75" s="21"/>
      <c r="Q75" s="21"/>
    </row>
    <row r="76" spans="2:17" x14ac:dyDescent="0.35">
      <c r="B76" s="240"/>
      <c r="C76" s="236"/>
      <c r="D76" s="236"/>
      <c r="E76" s="21"/>
      <c r="F76" s="21"/>
      <c r="G76" s="21"/>
      <c r="H76" s="21"/>
      <c r="I76" s="21"/>
      <c r="J76" s="21"/>
      <c r="K76" s="21"/>
      <c r="L76" s="21"/>
      <c r="M76" s="21"/>
      <c r="N76" s="21"/>
      <c r="O76" s="21"/>
      <c r="P76" s="21"/>
      <c r="Q76" s="21"/>
    </row>
    <row r="77" spans="2:17" x14ac:dyDescent="0.35">
      <c r="B77" s="240"/>
      <c r="C77" s="236"/>
      <c r="D77" s="236"/>
      <c r="E77" s="21"/>
      <c r="F77" s="21"/>
      <c r="G77" s="21"/>
      <c r="H77" s="21"/>
      <c r="I77" s="21"/>
      <c r="J77" s="21"/>
      <c r="K77" s="21"/>
      <c r="L77" s="21"/>
      <c r="M77" s="21"/>
      <c r="N77" s="21"/>
      <c r="O77" s="21"/>
      <c r="P77" s="21"/>
      <c r="Q77" s="21"/>
    </row>
    <row r="78" spans="2:17" x14ac:dyDescent="0.35">
      <c r="B78" s="240"/>
      <c r="C78" s="236"/>
      <c r="D78" s="236"/>
      <c r="E78" s="21"/>
      <c r="F78" s="21"/>
      <c r="G78" s="21"/>
      <c r="H78" s="21"/>
      <c r="I78" s="21"/>
      <c r="J78" s="21"/>
      <c r="K78" s="21"/>
      <c r="L78" s="21"/>
      <c r="M78" s="21"/>
      <c r="N78" s="21"/>
      <c r="O78" s="21"/>
      <c r="P78" s="21"/>
      <c r="Q78" s="21"/>
    </row>
    <row r="79" spans="2:17" x14ac:dyDescent="0.35">
      <c r="B79" s="240"/>
      <c r="C79" s="236"/>
      <c r="D79" s="236"/>
      <c r="E79" s="21"/>
      <c r="F79" s="21"/>
      <c r="G79" s="21"/>
      <c r="H79" s="21"/>
      <c r="I79" s="21"/>
      <c r="J79" s="21"/>
      <c r="K79" s="21"/>
      <c r="L79" s="21"/>
      <c r="M79" s="21"/>
      <c r="N79" s="21"/>
      <c r="O79" s="21"/>
      <c r="P79" s="21"/>
      <c r="Q79" s="21"/>
    </row>
    <row r="80" spans="2:17" x14ac:dyDescent="0.35">
      <c r="B80" s="240"/>
      <c r="C80" s="236"/>
      <c r="D80" s="236"/>
      <c r="E80" s="21"/>
      <c r="F80" s="21"/>
      <c r="G80" s="21"/>
      <c r="H80" s="21"/>
      <c r="I80" s="21"/>
      <c r="J80" s="21"/>
      <c r="K80" s="21"/>
      <c r="L80" s="21"/>
      <c r="M80" s="21"/>
      <c r="N80" s="21"/>
      <c r="O80" s="21"/>
      <c r="P80" s="21"/>
      <c r="Q80" s="21"/>
    </row>
    <row r="81" spans="2:17" x14ac:dyDescent="0.35">
      <c r="B81" s="240"/>
      <c r="C81" s="236"/>
      <c r="D81" s="236"/>
      <c r="E81" s="21"/>
      <c r="F81" s="21"/>
      <c r="G81" s="21"/>
      <c r="H81" s="21"/>
      <c r="I81" s="21"/>
      <c r="J81" s="21"/>
      <c r="K81" s="21"/>
      <c r="L81" s="21"/>
      <c r="M81" s="21"/>
      <c r="N81" s="21"/>
      <c r="O81" s="21"/>
      <c r="P81" s="21"/>
      <c r="Q81" s="21"/>
    </row>
    <row r="82" spans="2:17" x14ac:dyDescent="0.35">
      <c r="B82" s="240"/>
      <c r="C82" s="236"/>
      <c r="D82" s="236"/>
      <c r="E82" s="21"/>
      <c r="F82" s="21"/>
      <c r="G82" s="21"/>
      <c r="H82" s="21"/>
      <c r="I82" s="21"/>
      <c r="J82" s="21"/>
      <c r="K82" s="21"/>
      <c r="L82" s="21"/>
      <c r="M82" s="21"/>
      <c r="N82" s="21"/>
      <c r="O82" s="21"/>
      <c r="P82" s="21"/>
      <c r="Q82" s="21"/>
    </row>
    <row r="83" spans="2:17" x14ac:dyDescent="0.35">
      <c r="B83" s="240"/>
      <c r="C83" s="236"/>
      <c r="D83" s="236"/>
      <c r="E83" s="21"/>
      <c r="F83" s="21"/>
      <c r="G83" s="21"/>
      <c r="H83" s="21"/>
      <c r="I83" s="21"/>
      <c r="J83" s="21"/>
      <c r="K83" s="21"/>
      <c r="L83" s="21"/>
      <c r="M83" s="21"/>
      <c r="N83" s="21"/>
      <c r="O83" s="21"/>
      <c r="P83" s="21"/>
      <c r="Q83" s="21"/>
    </row>
    <row r="84" spans="2:17" x14ac:dyDescent="0.35">
      <c r="B84" s="240"/>
      <c r="C84" s="236"/>
      <c r="D84" s="236"/>
      <c r="E84" s="21"/>
      <c r="F84" s="21"/>
      <c r="G84" s="21"/>
      <c r="H84" s="21"/>
      <c r="I84" s="21"/>
      <c r="J84" s="21"/>
      <c r="K84" s="21"/>
      <c r="L84" s="21"/>
      <c r="M84" s="21"/>
      <c r="N84" s="21"/>
      <c r="O84" s="21"/>
      <c r="P84" s="21"/>
      <c r="Q84" s="21"/>
    </row>
    <row r="85" spans="2:17" x14ac:dyDescent="0.35">
      <c r="B85" s="240"/>
      <c r="C85" s="236"/>
      <c r="D85" s="236"/>
      <c r="E85" s="21"/>
      <c r="F85" s="21"/>
      <c r="G85" s="21"/>
      <c r="H85" s="21"/>
      <c r="I85" s="21"/>
      <c r="J85" s="21"/>
      <c r="K85" s="21"/>
      <c r="L85" s="21"/>
      <c r="M85" s="21"/>
      <c r="N85" s="21"/>
      <c r="O85" s="21"/>
      <c r="P85" s="21"/>
      <c r="Q85" s="21"/>
    </row>
    <row r="86" spans="2:17" x14ac:dyDescent="0.35">
      <c r="B86" s="240"/>
      <c r="C86" s="236"/>
      <c r="D86" s="236"/>
      <c r="E86" s="21"/>
      <c r="F86" s="21"/>
      <c r="G86" s="21"/>
      <c r="H86" s="21"/>
      <c r="I86" s="21"/>
      <c r="J86" s="21"/>
      <c r="K86" s="21"/>
      <c r="L86" s="21"/>
      <c r="M86" s="21"/>
      <c r="N86" s="21"/>
      <c r="O86" s="21"/>
      <c r="P86" s="21"/>
      <c r="Q86" s="21"/>
    </row>
    <row r="87" spans="2:17" x14ac:dyDescent="0.35">
      <c r="B87" s="240"/>
      <c r="C87" s="236"/>
      <c r="D87" s="236"/>
      <c r="E87" s="21"/>
      <c r="F87" s="21"/>
      <c r="G87" s="21"/>
      <c r="H87" s="21"/>
      <c r="I87" s="21"/>
      <c r="J87" s="21"/>
      <c r="K87" s="21"/>
      <c r="L87" s="21"/>
      <c r="M87" s="21"/>
      <c r="N87" s="21"/>
      <c r="O87" s="21"/>
      <c r="P87" s="21"/>
      <c r="Q87" s="21"/>
    </row>
    <row r="88" spans="2:17" x14ac:dyDescent="0.35">
      <c r="B88" s="240"/>
      <c r="C88" s="236"/>
      <c r="D88" s="236"/>
      <c r="E88" s="21"/>
      <c r="F88" s="21"/>
      <c r="G88" s="21"/>
      <c r="H88" s="21"/>
      <c r="I88" s="21"/>
      <c r="J88" s="21"/>
      <c r="K88" s="21"/>
      <c r="L88" s="21"/>
      <c r="M88" s="21"/>
      <c r="N88" s="21"/>
      <c r="O88" s="21"/>
      <c r="P88" s="21"/>
      <c r="Q88" s="21"/>
    </row>
    <row r="89" spans="2:17" x14ac:dyDescent="0.35">
      <c r="B89" s="240"/>
      <c r="C89" s="236"/>
      <c r="D89" s="236"/>
      <c r="E89" s="21"/>
      <c r="F89" s="21"/>
      <c r="G89" s="21"/>
      <c r="H89" s="21"/>
      <c r="I89" s="21"/>
      <c r="J89" s="21"/>
      <c r="K89" s="21"/>
      <c r="L89" s="21"/>
      <c r="M89" s="21"/>
      <c r="N89" s="21"/>
      <c r="O89" s="21"/>
      <c r="P89" s="21"/>
      <c r="Q89" s="21"/>
    </row>
    <row r="90" spans="2:17" x14ac:dyDescent="0.35">
      <c r="B90" s="240"/>
      <c r="C90" s="236"/>
      <c r="D90" s="236"/>
      <c r="E90" s="21"/>
      <c r="F90" s="21"/>
      <c r="G90" s="21"/>
      <c r="H90" s="21"/>
      <c r="I90" s="21"/>
      <c r="J90" s="21"/>
      <c r="K90" s="21"/>
      <c r="L90" s="21"/>
      <c r="M90" s="21"/>
      <c r="N90" s="21"/>
      <c r="O90" s="21"/>
      <c r="P90" s="21"/>
      <c r="Q90" s="21"/>
    </row>
    <row r="91" spans="2:17" x14ac:dyDescent="0.35">
      <c r="B91" s="240"/>
      <c r="C91" s="236"/>
      <c r="D91" s="236"/>
      <c r="E91" s="21"/>
      <c r="F91" s="21"/>
      <c r="G91" s="21"/>
      <c r="H91" s="21"/>
      <c r="I91" s="21"/>
      <c r="J91" s="21"/>
      <c r="K91" s="21"/>
      <c r="L91" s="21"/>
      <c r="M91" s="21"/>
      <c r="N91" s="21"/>
      <c r="O91" s="21"/>
      <c r="P91" s="21"/>
      <c r="Q91" s="21"/>
    </row>
    <row r="92" spans="2:17" x14ac:dyDescent="0.35">
      <c r="B92" s="240"/>
      <c r="C92" s="236"/>
      <c r="D92" s="236"/>
      <c r="E92" s="21"/>
      <c r="F92" s="21"/>
      <c r="G92" s="21"/>
      <c r="H92" s="21"/>
      <c r="I92" s="21"/>
      <c r="J92" s="21"/>
      <c r="K92" s="21"/>
      <c r="L92" s="21"/>
      <c r="M92" s="21"/>
      <c r="N92" s="21"/>
      <c r="O92" s="21"/>
      <c r="P92" s="21"/>
      <c r="Q92" s="21"/>
    </row>
    <row r="93" spans="2:17" x14ac:dyDescent="0.35">
      <c r="B93" s="240"/>
      <c r="C93" s="236"/>
      <c r="D93" s="236"/>
      <c r="E93" s="21"/>
      <c r="F93" s="21"/>
      <c r="G93" s="21"/>
      <c r="H93" s="21"/>
      <c r="I93" s="21"/>
      <c r="J93" s="21"/>
      <c r="K93" s="21"/>
      <c r="L93" s="21"/>
      <c r="M93" s="21"/>
      <c r="N93" s="21"/>
      <c r="O93" s="21"/>
      <c r="P93" s="21"/>
      <c r="Q93" s="21"/>
    </row>
    <row r="94" spans="2:17" x14ac:dyDescent="0.35">
      <c r="B94" s="240"/>
      <c r="C94" s="236"/>
      <c r="D94" s="236"/>
      <c r="E94" s="21"/>
      <c r="F94" s="21"/>
      <c r="G94" s="21"/>
      <c r="H94" s="21"/>
      <c r="I94" s="21"/>
      <c r="J94" s="21"/>
      <c r="K94" s="21"/>
      <c r="L94" s="21"/>
      <c r="M94" s="21"/>
      <c r="N94" s="21"/>
      <c r="O94" s="21"/>
      <c r="P94" s="21"/>
      <c r="Q94" s="21"/>
    </row>
    <row r="95" spans="2:17" x14ac:dyDescent="0.35">
      <c r="B95" s="240"/>
      <c r="C95" s="236"/>
      <c r="D95" s="236"/>
      <c r="E95" s="21"/>
      <c r="F95" s="21"/>
      <c r="G95" s="21"/>
      <c r="H95" s="21"/>
      <c r="I95" s="21"/>
      <c r="J95" s="21"/>
      <c r="K95" s="21"/>
      <c r="L95" s="21"/>
      <c r="M95" s="21"/>
      <c r="N95" s="21"/>
      <c r="O95" s="21"/>
      <c r="P95" s="21"/>
      <c r="Q95" s="21"/>
    </row>
    <row r="96" spans="2:17" x14ac:dyDescent="0.35">
      <c r="B96" s="240"/>
      <c r="C96" s="236"/>
      <c r="D96" s="236"/>
      <c r="E96" s="21"/>
      <c r="F96" s="21"/>
      <c r="G96" s="21"/>
      <c r="H96" s="21"/>
      <c r="I96" s="21"/>
      <c r="J96" s="21"/>
      <c r="K96" s="21"/>
      <c r="L96" s="21"/>
      <c r="M96" s="21"/>
      <c r="N96" s="21"/>
      <c r="O96" s="21"/>
      <c r="P96" s="21"/>
      <c r="Q96" s="21"/>
    </row>
    <row r="97" spans="2:19" x14ac:dyDescent="0.35">
      <c r="B97" s="240"/>
      <c r="C97" s="236"/>
      <c r="D97" s="236"/>
      <c r="E97" s="21"/>
      <c r="F97" s="21"/>
      <c r="G97" s="21"/>
      <c r="H97" s="21"/>
      <c r="I97" s="21"/>
      <c r="J97" s="21"/>
      <c r="K97" s="21"/>
      <c r="L97" s="21"/>
      <c r="M97" s="21"/>
      <c r="N97" s="21"/>
      <c r="O97" s="21"/>
      <c r="P97" s="21"/>
      <c r="Q97" s="21"/>
    </row>
    <row r="98" spans="2:19" x14ac:dyDescent="0.35">
      <c r="B98" s="240"/>
      <c r="C98" s="236"/>
      <c r="D98" s="236"/>
      <c r="E98" s="21"/>
      <c r="F98" s="21"/>
      <c r="G98" s="21"/>
      <c r="H98" s="21"/>
      <c r="I98" s="21"/>
      <c r="J98" s="21"/>
      <c r="K98" s="21"/>
      <c r="L98" s="21"/>
      <c r="M98" s="21"/>
      <c r="N98" s="21"/>
      <c r="O98" s="21"/>
      <c r="P98" s="21"/>
      <c r="Q98" s="21"/>
      <c r="R98" s="25"/>
      <c r="S98" s="25"/>
    </row>
    <row r="99" spans="2:19" x14ac:dyDescent="0.35">
      <c r="B99" s="240"/>
      <c r="C99" s="236"/>
      <c r="D99" s="236"/>
      <c r="E99" s="21"/>
      <c r="F99" s="21"/>
      <c r="G99" s="21"/>
      <c r="H99" s="21"/>
      <c r="I99" s="21"/>
      <c r="J99" s="21"/>
      <c r="K99" s="21"/>
      <c r="L99" s="21"/>
      <c r="M99" s="21"/>
      <c r="N99" s="21"/>
      <c r="O99" s="21"/>
      <c r="P99" s="21"/>
      <c r="Q99" s="21"/>
      <c r="R99" s="142"/>
      <c r="S99" s="25"/>
    </row>
    <row r="100" spans="2:19" x14ac:dyDescent="0.35">
      <c r="B100" s="240"/>
      <c r="C100" s="236"/>
      <c r="D100" s="236"/>
      <c r="E100" s="21"/>
      <c r="F100" s="21"/>
      <c r="G100" s="21"/>
      <c r="H100" s="21"/>
      <c r="I100" s="21"/>
      <c r="J100" s="21"/>
      <c r="K100" s="21"/>
      <c r="L100" s="21"/>
      <c r="M100" s="21"/>
      <c r="N100" s="21"/>
      <c r="O100" s="21"/>
      <c r="P100" s="21"/>
      <c r="Q100" s="21"/>
      <c r="R100" s="142"/>
      <c r="S100" s="25"/>
    </row>
    <row r="101" spans="2:19" x14ac:dyDescent="0.35">
      <c r="B101" s="240"/>
      <c r="C101" s="236"/>
      <c r="D101" s="236"/>
      <c r="E101" s="21"/>
      <c r="F101" s="21"/>
      <c r="G101" s="21"/>
      <c r="H101" s="21"/>
      <c r="I101" s="21"/>
      <c r="J101" s="21"/>
      <c r="K101" s="21"/>
      <c r="L101" s="21"/>
      <c r="M101" s="21"/>
      <c r="N101" s="21"/>
      <c r="O101" s="21"/>
      <c r="P101" s="21"/>
      <c r="Q101" s="21"/>
      <c r="R101" s="142"/>
      <c r="S101" s="25"/>
    </row>
    <row r="102" spans="2:19" x14ac:dyDescent="0.35">
      <c r="B102" s="240"/>
      <c r="C102" s="236"/>
      <c r="D102" s="236"/>
      <c r="E102" s="21"/>
      <c r="F102" s="21"/>
      <c r="G102" s="21"/>
      <c r="H102" s="21"/>
      <c r="I102" s="21"/>
      <c r="J102" s="21"/>
      <c r="K102" s="21"/>
      <c r="L102" s="21"/>
      <c r="M102" s="21"/>
      <c r="N102" s="21"/>
      <c r="O102" s="21"/>
      <c r="P102" s="21"/>
      <c r="Q102" s="21"/>
      <c r="R102" s="142"/>
      <c r="S102" s="25"/>
    </row>
    <row r="103" spans="2:19" x14ac:dyDescent="0.35">
      <c r="B103" s="240"/>
      <c r="C103" s="236"/>
      <c r="D103" s="236"/>
      <c r="E103" s="21"/>
      <c r="F103" s="21"/>
      <c r="G103" s="21"/>
      <c r="H103" s="21"/>
      <c r="I103" s="21"/>
      <c r="J103" s="21"/>
      <c r="K103" s="21"/>
      <c r="L103" s="21"/>
      <c r="M103" s="21"/>
      <c r="N103" s="21"/>
      <c r="O103" s="21"/>
      <c r="P103" s="21"/>
      <c r="Q103" s="21"/>
      <c r="R103" s="142"/>
      <c r="S103" s="25"/>
    </row>
    <row r="104" spans="2:19" x14ac:dyDescent="0.35">
      <c r="B104" s="240"/>
      <c r="C104" s="236"/>
      <c r="D104" s="236"/>
      <c r="E104" s="21"/>
      <c r="F104" s="21"/>
      <c r="G104" s="21"/>
      <c r="H104" s="21"/>
      <c r="I104" s="21"/>
      <c r="J104" s="21"/>
      <c r="K104" s="21"/>
      <c r="L104" s="21"/>
      <c r="M104" s="21"/>
      <c r="N104" s="21"/>
      <c r="O104" s="21"/>
      <c r="P104" s="21"/>
      <c r="Q104" s="21"/>
      <c r="R104" s="142"/>
      <c r="S104" s="25"/>
    </row>
    <row r="105" spans="2:19" x14ac:dyDescent="0.35">
      <c r="B105" s="240"/>
      <c r="C105" s="236"/>
      <c r="D105" s="236"/>
      <c r="E105" s="21"/>
      <c r="F105" s="21"/>
      <c r="G105" s="21"/>
      <c r="H105" s="21"/>
      <c r="I105" s="21"/>
      <c r="J105" s="21"/>
      <c r="K105" s="21"/>
      <c r="L105" s="21"/>
      <c r="M105" s="21"/>
      <c r="N105" s="21"/>
      <c r="O105" s="21"/>
      <c r="P105" s="21"/>
      <c r="Q105" s="21"/>
      <c r="R105" s="142"/>
      <c r="S105" s="25"/>
    </row>
    <row r="106" spans="2:19" x14ac:dyDescent="0.35">
      <c r="B106" s="240"/>
      <c r="C106" s="236"/>
      <c r="D106" s="236"/>
      <c r="E106" s="21"/>
      <c r="F106" s="21"/>
      <c r="G106" s="21"/>
      <c r="H106" s="21"/>
      <c r="I106" s="21"/>
      <c r="J106" s="21"/>
      <c r="K106" s="21"/>
      <c r="L106" s="21"/>
      <c r="M106" s="21"/>
      <c r="N106" s="21"/>
      <c r="O106" s="21"/>
      <c r="P106" s="21"/>
      <c r="Q106" s="21"/>
      <c r="R106" s="142"/>
      <c r="S106" s="25"/>
    </row>
    <row r="107" spans="2:19" x14ac:dyDescent="0.35">
      <c r="B107" s="240"/>
      <c r="C107" s="236"/>
      <c r="D107" s="236"/>
      <c r="E107" s="21"/>
      <c r="F107" s="21"/>
      <c r="G107" s="21"/>
      <c r="H107" s="21"/>
      <c r="I107" s="21"/>
      <c r="J107" s="21"/>
      <c r="K107" s="21"/>
      <c r="L107" s="21"/>
      <c r="M107" s="21"/>
      <c r="N107" s="21"/>
      <c r="O107" s="21"/>
      <c r="P107" s="21"/>
      <c r="Q107" s="21"/>
      <c r="R107" s="142"/>
      <c r="S107" s="25"/>
    </row>
    <row r="108" spans="2:19" x14ac:dyDescent="0.35">
      <c r="B108" s="240"/>
      <c r="C108" s="236"/>
      <c r="D108" s="236"/>
      <c r="E108" s="21"/>
      <c r="F108" s="21"/>
      <c r="G108" s="21"/>
      <c r="H108" s="21"/>
      <c r="I108" s="21"/>
      <c r="J108" s="21"/>
      <c r="K108" s="21"/>
      <c r="L108" s="21"/>
      <c r="M108" s="21"/>
      <c r="N108" s="21"/>
      <c r="O108" s="21"/>
      <c r="P108" s="21"/>
      <c r="Q108" s="21"/>
      <c r="R108" s="142"/>
      <c r="S108" s="25"/>
    </row>
    <row r="109" spans="2:19" x14ac:dyDescent="0.35">
      <c r="B109" s="240"/>
      <c r="C109" s="236"/>
      <c r="D109" s="236"/>
      <c r="E109" s="21"/>
      <c r="F109" s="21"/>
      <c r="G109" s="21"/>
      <c r="H109" s="21"/>
      <c r="I109" s="21"/>
      <c r="J109" s="21"/>
      <c r="K109" s="21"/>
      <c r="L109" s="21"/>
      <c r="M109" s="21"/>
      <c r="N109" s="21"/>
      <c r="O109" s="21"/>
      <c r="P109" s="21"/>
      <c r="Q109" s="21"/>
    </row>
    <row r="110" spans="2:19" x14ac:dyDescent="0.35">
      <c r="B110" s="241"/>
      <c r="C110" s="237"/>
      <c r="D110" s="237"/>
      <c r="E110" s="21"/>
      <c r="F110" s="21"/>
      <c r="G110" s="21"/>
      <c r="H110" s="21"/>
      <c r="I110" s="21"/>
      <c r="J110" s="21"/>
      <c r="K110" s="21"/>
      <c r="L110" s="21"/>
      <c r="M110" s="21"/>
      <c r="N110" s="21"/>
      <c r="O110" s="21"/>
      <c r="P110" s="21"/>
      <c r="Q110" s="21"/>
    </row>
    <row r="111" spans="2:19" x14ac:dyDescent="0.35">
      <c r="B111" s="241"/>
      <c r="C111" s="237"/>
      <c r="D111" s="237"/>
      <c r="E111" s="21"/>
      <c r="F111" s="21"/>
      <c r="G111" s="21"/>
      <c r="H111" s="21"/>
      <c r="I111" s="21"/>
      <c r="J111" s="21"/>
      <c r="K111" s="21"/>
      <c r="L111" s="21"/>
      <c r="M111" s="21"/>
      <c r="N111" s="21"/>
      <c r="O111" s="21"/>
      <c r="P111" s="21"/>
      <c r="Q111" s="21"/>
    </row>
    <row r="112" spans="2:19" x14ac:dyDescent="0.35">
      <c r="B112" s="241"/>
      <c r="C112" s="237"/>
      <c r="D112" s="237"/>
      <c r="E112" s="21"/>
      <c r="F112" s="21"/>
      <c r="G112" s="21"/>
      <c r="H112" s="21"/>
      <c r="I112" s="21"/>
      <c r="J112" s="21"/>
      <c r="K112" s="21"/>
      <c r="L112" s="21"/>
      <c r="M112" s="21"/>
      <c r="N112" s="21"/>
      <c r="O112" s="21"/>
      <c r="P112" s="21"/>
      <c r="Q112" s="21"/>
    </row>
    <row r="113" spans="2:17" x14ac:dyDescent="0.35">
      <c r="B113" s="241"/>
      <c r="C113" s="237"/>
      <c r="D113" s="237"/>
      <c r="E113" s="21"/>
      <c r="F113" s="21"/>
      <c r="G113" s="21"/>
      <c r="H113" s="21"/>
      <c r="I113" s="21"/>
      <c r="J113" s="21"/>
      <c r="K113" s="21"/>
      <c r="L113" s="21"/>
      <c r="M113" s="83"/>
      <c r="N113" s="83"/>
      <c r="O113" s="21"/>
      <c r="P113" s="21"/>
      <c r="Q113" s="21"/>
    </row>
    <row r="114" spans="2:17" x14ac:dyDescent="0.35">
      <c r="B114" s="241"/>
      <c r="C114" s="237"/>
      <c r="D114" s="237"/>
      <c r="E114" s="21"/>
      <c r="F114" s="21"/>
      <c r="G114" s="21"/>
      <c r="H114" s="21"/>
      <c r="I114" s="21"/>
      <c r="J114" s="21"/>
      <c r="K114" s="21"/>
      <c r="L114" s="21"/>
      <c r="M114" s="24"/>
      <c r="N114" s="24"/>
      <c r="O114" s="21"/>
      <c r="P114" s="21"/>
      <c r="Q114" s="21"/>
    </row>
    <row r="115" spans="2:17" x14ac:dyDescent="0.35">
      <c r="B115" s="241"/>
      <c r="C115" s="237"/>
      <c r="D115" s="237"/>
      <c r="E115" s="21"/>
      <c r="F115" s="21"/>
      <c r="G115" s="21"/>
      <c r="H115" s="21"/>
      <c r="I115" s="21"/>
      <c r="J115" s="21"/>
      <c r="K115" s="21"/>
      <c r="L115" s="21"/>
      <c r="M115" s="281"/>
      <c r="N115" s="24"/>
      <c r="O115" s="334"/>
      <c r="P115" s="21"/>
      <c r="Q115" s="21"/>
    </row>
    <row r="116" spans="2:17" x14ac:dyDescent="0.35">
      <c r="B116" s="241"/>
      <c r="C116" s="237"/>
      <c r="D116" s="237"/>
      <c r="E116" s="21"/>
      <c r="F116" s="21"/>
      <c r="G116" s="21"/>
      <c r="H116" s="21"/>
      <c r="I116" s="21"/>
      <c r="J116" s="21"/>
      <c r="K116" s="21"/>
      <c r="L116" s="21"/>
      <c r="M116" s="281"/>
      <c r="N116" s="24"/>
      <c r="O116" s="334"/>
      <c r="P116" s="21"/>
      <c r="Q116" s="21"/>
    </row>
    <row r="117" spans="2:17" x14ac:dyDescent="0.35">
      <c r="B117" s="241"/>
      <c r="C117" s="237"/>
      <c r="D117" s="237"/>
      <c r="E117" s="21"/>
      <c r="F117" s="21"/>
      <c r="G117" s="21"/>
      <c r="H117" s="21"/>
      <c r="I117" s="21"/>
      <c r="J117" s="21"/>
      <c r="K117" s="21"/>
      <c r="L117" s="21"/>
      <c r="M117" s="281"/>
      <c r="N117" s="24"/>
      <c r="O117" s="334"/>
      <c r="P117" s="21"/>
      <c r="Q117" s="21"/>
    </row>
    <row r="118" spans="2:17" x14ac:dyDescent="0.35">
      <c r="B118" s="241"/>
      <c r="C118" s="237"/>
      <c r="D118" s="237"/>
      <c r="E118" s="21"/>
      <c r="F118" s="21"/>
      <c r="G118" s="21"/>
      <c r="H118" s="21"/>
      <c r="I118" s="21"/>
      <c r="J118" s="21"/>
      <c r="K118" s="21"/>
      <c r="L118" s="21"/>
      <c r="M118" s="281"/>
      <c r="N118" s="24"/>
      <c r="O118" s="334"/>
      <c r="P118" s="21"/>
      <c r="Q118" s="21"/>
    </row>
    <row r="119" spans="2:17" x14ac:dyDescent="0.35">
      <c r="B119" s="241"/>
      <c r="C119" s="237"/>
      <c r="D119" s="237"/>
      <c r="E119" s="21"/>
      <c r="F119" s="21"/>
      <c r="G119" s="21"/>
      <c r="H119" s="21"/>
      <c r="I119" s="21"/>
      <c r="J119" s="21"/>
      <c r="K119" s="21"/>
      <c r="L119" s="21"/>
      <c r="M119" s="281"/>
      <c r="N119" s="24"/>
      <c r="O119" s="334"/>
      <c r="P119" s="21"/>
      <c r="Q119" s="21"/>
    </row>
    <row r="120" spans="2:17" x14ac:dyDescent="0.35">
      <c r="B120" s="241"/>
      <c r="C120" s="237"/>
      <c r="D120" s="237"/>
      <c r="E120" s="21"/>
      <c r="F120" s="21"/>
      <c r="G120" s="21"/>
      <c r="H120" s="21"/>
      <c r="I120" s="21"/>
      <c r="J120" s="21"/>
      <c r="K120" s="21"/>
      <c r="L120" s="21"/>
      <c r="M120" s="281"/>
      <c r="N120" s="24"/>
      <c r="O120" s="334"/>
      <c r="P120" s="21"/>
      <c r="Q120" s="21"/>
    </row>
    <row r="121" spans="2:17" x14ac:dyDescent="0.35">
      <c r="B121" s="241"/>
      <c r="C121" s="237"/>
      <c r="D121" s="237"/>
      <c r="E121" s="21"/>
      <c r="F121" s="21"/>
      <c r="G121" s="21"/>
      <c r="H121" s="21"/>
      <c r="I121" s="21"/>
      <c r="J121" s="21"/>
      <c r="K121" s="21"/>
      <c r="L121" s="21"/>
      <c r="M121" s="281"/>
      <c r="N121" s="24"/>
      <c r="O121" s="334"/>
      <c r="P121" s="21"/>
      <c r="Q121" s="21"/>
    </row>
    <row r="122" spans="2:17" x14ac:dyDescent="0.35">
      <c r="B122" s="241"/>
      <c r="C122" s="237"/>
      <c r="D122" s="237"/>
      <c r="E122" s="21"/>
      <c r="F122" s="21"/>
      <c r="G122" s="21"/>
      <c r="H122" s="21"/>
      <c r="I122" s="21"/>
      <c r="J122" s="21"/>
      <c r="K122" s="21"/>
      <c r="L122" s="21"/>
      <c r="M122" s="21"/>
      <c r="N122" s="21"/>
      <c r="O122" s="21"/>
      <c r="P122" s="21"/>
      <c r="Q122" s="21"/>
    </row>
    <row r="123" spans="2:17" x14ac:dyDescent="0.35">
      <c r="B123" s="241"/>
      <c r="C123" s="238"/>
      <c r="D123" s="236"/>
      <c r="E123" s="23"/>
      <c r="F123" s="21"/>
      <c r="G123" s="21"/>
      <c r="H123" s="21"/>
      <c r="I123" s="21"/>
      <c r="J123" s="21"/>
      <c r="K123" s="21"/>
      <c r="L123" s="21"/>
      <c r="M123" s="21"/>
      <c r="N123" s="21"/>
      <c r="O123" s="21"/>
      <c r="P123" s="21"/>
      <c r="Q123" s="21"/>
    </row>
    <row r="124" spans="2:17" x14ac:dyDescent="0.35">
      <c r="B124" s="241"/>
      <c r="C124" s="238"/>
      <c r="D124" s="236"/>
      <c r="E124" s="23"/>
      <c r="F124" s="21"/>
      <c r="G124" s="21"/>
      <c r="H124" s="21"/>
      <c r="I124" s="21"/>
      <c r="J124" s="21"/>
      <c r="K124" s="21"/>
      <c r="L124" s="21"/>
      <c r="M124" s="21"/>
      <c r="N124" s="24"/>
      <c r="O124" s="24"/>
      <c r="P124" s="21"/>
      <c r="Q124" s="21"/>
    </row>
    <row r="125" spans="2:17" x14ac:dyDescent="0.35">
      <c r="B125" s="241"/>
      <c r="C125" s="238"/>
      <c r="D125" s="236"/>
      <c r="E125" s="23"/>
      <c r="F125" s="21"/>
      <c r="G125" s="21"/>
      <c r="H125" s="21"/>
      <c r="I125" s="21"/>
      <c r="J125" s="21"/>
      <c r="K125" s="21"/>
      <c r="L125" s="21"/>
      <c r="M125" s="21"/>
      <c r="N125" s="24"/>
      <c r="O125" s="24"/>
      <c r="P125" s="21"/>
      <c r="Q125" s="21"/>
    </row>
    <row r="126" spans="2:17" x14ac:dyDescent="0.35">
      <c r="B126" s="241"/>
      <c r="C126" s="238"/>
      <c r="D126" s="236"/>
      <c r="E126" s="23"/>
      <c r="F126" s="21"/>
      <c r="G126" s="21"/>
      <c r="H126" s="21"/>
      <c r="I126" s="21"/>
      <c r="J126" s="21"/>
      <c r="K126" s="21"/>
      <c r="L126" s="21"/>
      <c r="M126" s="21"/>
      <c r="N126" s="21"/>
      <c r="O126" s="21"/>
      <c r="P126" s="21"/>
      <c r="Q126" s="21"/>
    </row>
    <row r="127" spans="2:17" x14ac:dyDescent="0.35">
      <c r="B127" s="241"/>
      <c r="C127" s="238"/>
      <c r="D127" s="236"/>
      <c r="E127" s="23"/>
      <c r="F127" s="21"/>
      <c r="G127" s="21"/>
      <c r="H127" s="21"/>
      <c r="I127" s="21"/>
      <c r="J127" s="21"/>
      <c r="K127" s="21"/>
      <c r="L127" s="21"/>
      <c r="M127" s="24"/>
      <c r="N127" s="21"/>
      <c r="O127" s="21"/>
      <c r="P127" s="21"/>
      <c r="Q127" s="21"/>
    </row>
    <row r="128" spans="2:17" x14ac:dyDescent="0.35">
      <c r="B128" s="241"/>
      <c r="C128" s="238"/>
      <c r="D128" s="236"/>
      <c r="E128" s="23"/>
      <c r="F128" s="21"/>
      <c r="G128" s="21"/>
      <c r="H128" s="21"/>
      <c r="I128" s="21"/>
      <c r="J128" s="21"/>
      <c r="K128" s="21"/>
      <c r="L128" s="21"/>
      <c r="M128" s="24"/>
      <c r="N128" s="21"/>
      <c r="O128" s="24"/>
      <c r="P128" s="21"/>
      <c r="Q128" s="21"/>
    </row>
    <row r="129" spans="2:17" x14ac:dyDescent="0.35">
      <c r="B129" s="241"/>
      <c r="C129" s="238"/>
      <c r="D129" s="236"/>
      <c r="E129" s="23"/>
      <c r="F129" s="21"/>
      <c r="G129" s="21"/>
      <c r="H129" s="21"/>
      <c r="I129" s="21"/>
      <c r="J129" s="21"/>
      <c r="K129" s="21"/>
      <c r="L129" s="21"/>
      <c r="M129" s="24"/>
      <c r="N129" s="21"/>
      <c r="O129" s="281"/>
      <c r="P129" s="21"/>
      <c r="Q129" s="21"/>
    </row>
    <row r="130" spans="2:17" x14ac:dyDescent="0.35">
      <c r="B130" s="241"/>
      <c r="C130" s="238"/>
      <c r="D130" s="236"/>
      <c r="E130" s="23"/>
      <c r="F130" s="21"/>
      <c r="G130" s="21"/>
      <c r="H130" s="21"/>
      <c r="I130" s="21"/>
      <c r="J130" s="21"/>
      <c r="K130" s="21"/>
      <c r="L130" s="21"/>
      <c r="M130" s="24"/>
      <c r="N130" s="21"/>
      <c r="O130" s="281"/>
      <c r="P130" s="21"/>
      <c r="Q130" s="21"/>
    </row>
    <row r="131" spans="2:17" x14ac:dyDescent="0.35">
      <c r="B131" s="241"/>
      <c r="C131" s="238"/>
      <c r="D131" s="236"/>
      <c r="E131" s="23"/>
      <c r="F131" s="21"/>
      <c r="G131" s="21"/>
      <c r="H131" s="21"/>
      <c r="I131" s="21"/>
      <c r="J131" s="21"/>
      <c r="K131" s="21"/>
      <c r="L131" s="21"/>
      <c r="M131" s="24"/>
      <c r="N131" s="21"/>
      <c r="O131" s="281"/>
      <c r="P131" s="21"/>
      <c r="Q131" s="21"/>
    </row>
    <row r="132" spans="2:17" x14ac:dyDescent="0.35">
      <c r="B132" s="241"/>
      <c r="C132" s="238"/>
      <c r="D132" s="236"/>
      <c r="E132" s="23"/>
      <c r="F132" s="21"/>
      <c r="G132" s="21"/>
      <c r="H132" s="21"/>
      <c r="I132" s="21"/>
      <c r="J132" s="21"/>
      <c r="K132" s="21"/>
      <c r="L132" s="21"/>
      <c r="M132" s="24"/>
      <c r="N132" s="21"/>
      <c r="O132" s="281"/>
      <c r="P132" s="21"/>
      <c r="Q132" s="21"/>
    </row>
    <row r="133" spans="2:17" ht="18" x14ac:dyDescent="0.4">
      <c r="B133" s="396" t="s">
        <v>749</v>
      </c>
      <c r="C133" s="238"/>
      <c r="D133" s="236"/>
      <c r="E133" s="23"/>
      <c r="F133" s="21"/>
      <c r="G133" s="36"/>
      <c r="H133" s="21"/>
      <c r="I133" s="21"/>
      <c r="J133" s="21"/>
      <c r="K133" s="21"/>
      <c r="L133" s="21"/>
      <c r="M133" s="24"/>
      <c r="N133" s="21"/>
      <c r="O133" s="281"/>
      <c r="P133" s="21"/>
      <c r="Q133" s="21"/>
    </row>
    <row r="134" spans="2:17" ht="16" thickBot="1" x14ac:dyDescent="0.4">
      <c r="B134" s="39"/>
      <c r="C134" s="239" t="s">
        <v>13</v>
      </c>
      <c r="D134" s="236"/>
      <c r="E134" s="21"/>
      <c r="F134" s="21"/>
      <c r="G134" s="21"/>
      <c r="H134" s="21"/>
      <c r="I134" s="21"/>
      <c r="J134" s="21"/>
      <c r="K134" s="21"/>
      <c r="L134" s="21"/>
      <c r="M134" s="24"/>
      <c r="N134" s="21"/>
      <c r="O134" s="281"/>
      <c r="P134" s="21"/>
      <c r="Q134" s="21"/>
    </row>
    <row r="135" spans="2:17" x14ac:dyDescent="0.35">
      <c r="B135" s="240" t="s">
        <v>828</v>
      </c>
      <c r="C135" s="89">
        <v>20</v>
      </c>
      <c r="D135" s="236" t="s">
        <v>8</v>
      </c>
      <c r="E135" s="21"/>
      <c r="F135" s="144"/>
      <c r="G135" s="144"/>
      <c r="H135" s="21"/>
      <c r="I135" s="21"/>
      <c r="J135" s="21"/>
      <c r="K135" s="21"/>
      <c r="L135" s="21"/>
      <c r="M135" s="24"/>
      <c r="N135" s="21"/>
      <c r="O135" s="281"/>
      <c r="P135" s="21"/>
      <c r="Q135" s="21"/>
    </row>
    <row r="136" spans="2:17" x14ac:dyDescent="0.35">
      <c r="B136" s="240" t="s">
        <v>820</v>
      </c>
      <c r="C136" s="314">
        <v>90</v>
      </c>
      <c r="D136" s="236" t="s">
        <v>28</v>
      </c>
      <c r="E136" s="21"/>
      <c r="F136" s="315"/>
      <c r="G136" s="144"/>
      <c r="H136" s="21"/>
      <c r="I136" s="21"/>
      <c r="J136" s="21"/>
      <c r="K136" s="21"/>
      <c r="L136" s="21"/>
      <c r="M136" s="24"/>
      <c r="N136" s="21"/>
      <c r="O136" s="281"/>
      <c r="P136" s="21"/>
      <c r="Q136" s="21"/>
    </row>
    <row r="137" spans="2:17" x14ac:dyDescent="0.35">
      <c r="B137" s="240" t="s">
        <v>822</v>
      </c>
      <c r="C137" s="314">
        <v>800</v>
      </c>
      <c r="D137" s="236" t="s">
        <v>8</v>
      </c>
      <c r="E137" s="21"/>
      <c r="F137" s="315"/>
      <c r="G137" s="144"/>
      <c r="H137" s="21"/>
      <c r="I137" s="21"/>
      <c r="J137" s="21"/>
      <c r="K137" s="21"/>
      <c r="L137" s="21"/>
      <c r="M137" s="24"/>
      <c r="N137" s="335"/>
      <c r="O137" s="281"/>
      <c r="P137" s="21"/>
      <c r="Q137" s="21"/>
    </row>
    <row r="138" spans="2:17" ht="16" thickBot="1" x14ac:dyDescent="0.4">
      <c r="B138" s="240" t="s">
        <v>829</v>
      </c>
      <c r="C138" s="170">
        <v>4.5</v>
      </c>
      <c r="D138" s="236" t="s">
        <v>750</v>
      </c>
      <c r="E138" s="21"/>
      <c r="F138" s="315"/>
      <c r="G138" s="144"/>
      <c r="H138" s="21"/>
      <c r="I138" s="21"/>
      <c r="J138" s="21"/>
      <c r="K138" s="21"/>
      <c r="L138" s="21"/>
      <c r="M138" s="24"/>
      <c r="N138" s="21"/>
      <c r="O138" s="281"/>
      <c r="P138" s="21"/>
      <c r="Q138" s="21"/>
    </row>
    <row r="139" spans="2:17" x14ac:dyDescent="0.35">
      <c r="B139" s="240"/>
      <c r="C139" s="239" t="s">
        <v>3</v>
      </c>
      <c r="D139" s="236"/>
      <c r="E139" s="21"/>
      <c r="F139" s="21"/>
      <c r="G139" s="21"/>
      <c r="H139" s="21"/>
      <c r="I139" s="21"/>
      <c r="J139" s="21"/>
      <c r="K139" s="21"/>
      <c r="L139" s="21"/>
      <c r="M139" s="24"/>
      <c r="N139" s="21"/>
      <c r="O139" s="281"/>
      <c r="P139" s="21"/>
      <c r="Q139" s="21"/>
    </row>
    <row r="140" spans="2:17" x14ac:dyDescent="0.35">
      <c r="B140" s="254" t="s">
        <v>830</v>
      </c>
      <c r="C140" s="11" t="s">
        <v>826</v>
      </c>
      <c r="D140" s="236"/>
      <c r="E140" s="21"/>
      <c r="F140" s="21"/>
      <c r="G140" s="21"/>
      <c r="H140" s="21"/>
      <c r="I140" s="21"/>
      <c r="J140" s="21"/>
      <c r="K140" s="21"/>
      <c r="L140" s="21"/>
      <c r="M140" s="21"/>
      <c r="N140" s="21"/>
      <c r="O140" s="21"/>
      <c r="P140" s="21"/>
      <c r="Q140" s="21"/>
    </row>
    <row r="141" spans="2:17" x14ac:dyDescent="0.35">
      <c r="B141" s="254" t="s">
        <v>4</v>
      </c>
      <c r="C141" s="11">
        <f>C135+273</f>
        <v>293</v>
      </c>
      <c r="D141" s="11" t="s">
        <v>10</v>
      </c>
      <c r="E141" s="21"/>
      <c r="F141" s="21"/>
      <c r="G141" s="21"/>
      <c r="H141" s="21"/>
      <c r="I141" s="21"/>
      <c r="J141" s="21"/>
      <c r="K141" s="21"/>
      <c r="L141" s="21"/>
      <c r="M141" s="21"/>
      <c r="N141" s="21"/>
      <c r="O141" s="21"/>
      <c r="P141" s="21"/>
      <c r="Q141" s="21"/>
    </row>
    <row r="142" spans="2:17" x14ac:dyDescent="0.35">
      <c r="B142" s="254" t="s">
        <v>821</v>
      </c>
      <c r="C142" s="11" t="s">
        <v>823</v>
      </c>
      <c r="D142" s="11"/>
      <c r="E142" s="21"/>
      <c r="F142" s="21"/>
      <c r="G142" s="21"/>
      <c r="H142" s="21"/>
      <c r="I142" s="21"/>
      <c r="J142" s="21"/>
      <c r="K142" s="21"/>
      <c r="L142" s="21"/>
      <c r="M142" s="24"/>
      <c r="N142" s="21"/>
      <c r="O142" s="281"/>
      <c r="P142" s="21"/>
      <c r="Q142" s="21"/>
    </row>
    <row r="143" spans="2:17" x14ac:dyDescent="0.35">
      <c r="B143" s="254" t="s">
        <v>507</v>
      </c>
      <c r="C143" s="250">
        <f>C137+273.2</f>
        <v>1073.2</v>
      </c>
      <c r="D143" s="11" t="s">
        <v>10</v>
      </c>
      <c r="E143" s="21"/>
      <c r="F143" s="21"/>
      <c r="G143" s="21"/>
      <c r="H143" s="21"/>
      <c r="I143" s="21"/>
      <c r="J143" s="21"/>
      <c r="K143" s="21"/>
      <c r="L143" s="21"/>
      <c r="M143" s="24"/>
      <c r="N143" s="21"/>
      <c r="O143" s="281"/>
      <c r="P143" s="21"/>
      <c r="Q143" s="21"/>
    </row>
    <row r="144" spans="2:17" x14ac:dyDescent="0.35">
      <c r="B144" s="254" t="s">
        <v>77</v>
      </c>
      <c r="C144" s="11">
        <v>1.4</v>
      </c>
      <c r="D144" s="11"/>
      <c r="E144" s="21"/>
      <c r="F144" s="21"/>
      <c r="G144" s="21"/>
      <c r="H144" s="21"/>
      <c r="I144" s="21"/>
      <c r="J144" s="21"/>
      <c r="K144" s="21"/>
      <c r="L144" s="21"/>
      <c r="M144" s="24"/>
      <c r="N144" s="21"/>
      <c r="O144" s="281"/>
      <c r="P144" s="21"/>
      <c r="Q144" s="21"/>
    </row>
    <row r="145" spans="2:21" x14ac:dyDescent="0.35">
      <c r="B145" s="254" t="s">
        <v>747</v>
      </c>
      <c r="C145" s="11" t="s">
        <v>408</v>
      </c>
      <c r="D145" s="11"/>
      <c r="E145" s="21"/>
      <c r="F145" s="21"/>
      <c r="G145" s="21"/>
      <c r="H145" s="21"/>
      <c r="I145" s="21"/>
      <c r="J145" s="21"/>
      <c r="K145" s="21"/>
      <c r="L145" s="21"/>
      <c r="M145" s="24"/>
      <c r="N145" s="21"/>
      <c r="O145" s="281"/>
      <c r="P145" s="21"/>
      <c r="Q145" s="21"/>
    </row>
    <row r="146" spans="2:21" x14ac:dyDescent="0.35">
      <c r="B146" s="254" t="s">
        <v>4</v>
      </c>
      <c r="C146" s="11" t="s">
        <v>409</v>
      </c>
      <c r="D146" s="11"/>
      <c r="E146" s="21"/>
      <c r="F146" s="21"/>
      <c r="G146" s="21"/>
      <c r="H146" s="21"/>
      <c r="I146" s="21"/>
      <c r="J146" s="21"/>
      <c r="K146" s="21"/>
      <c r="L146" s="21"/>
      <c r="M146" s="24"/>
      <c r="N146" s="21"/>
      <c r="O146" s="281"/>
      <c r="P146" s="21"/>
      <c r="Q146" s="21"/>
    </row>
    <row r="147" spans="2:21" x14ac:dyDescent="0.35">
      <c r="B147" s="254" t="s">
        <v>4</v>
      </c>
      <c r="C147" s="316">
        <f>C141*(C138)^((C144-1)/C144)</f>
        <v>450.29773985472315</v>
      </c>
      <c r="D147" s="11" t="s">
        <v>10</v>
      </c>
      <c r="E147" s="21"/>
      <c r="F147" s="21"/>
      <c r="G147" s="21"/>
      <c r="H147" s="21"/>
      <c r="I147" s="21"/>
      <c r="J147" s="21"/>
      <c r="K147" s="21"/>
      <c r="L147" s="21"/>
      <c r="M147" s="24"/>
      <c r="N147" s="21"/>
      <c r="O147" s="281"/>
      <c r="P147" s="21"/>
      <c r="Q147" s="21"/>
    </row>
    <row r="148" spans="2:21" x14ac:dyDescent="0.35">
      <c r="B148" s="254" t="s">
        <v>748</v>
      </c>
      <c r="C148" s="11" t="s">
        <v>827</v>
      </c>
      <c r="D148" s="11"/>
      <c r="E148" s="21"/>
      <c r="F148" s="21"/>
      <c r="G148" s="21"/>
      <c r="H148" s="21"/>
      <c r="I148" s="21"/>
      <c r="J148" s="21"/>
      <c r="K148" s="21"/>
      <c r="L148" s="21"/>
      <c r="M148" s="24"/>
      <c r="N148" s="21"/>
      <c r="O148" s="281"/>
      <c r="P148" s="21"/>
      <c r="Q148" s="21"/>
    </row>
    <row r="149" spans="2:21" x14ac:dyDescent="0.35">
      <c r="B149" s="254" t="s">
        <v>4</v>
      </c>
      <c r="C149" s="316">
        <f>C143*( 1 /C138 )^((C144-1)/C144)</f>
        <v>698.31041146564132</v>
      </c>
      <c r="D149" s="11" t="s">
        <v>10</v>
      </c>
      <c r="E149" s="21"/>
      <c r="F149" s="21"/>
      <c r="G149" s="21"/>
      <c r="H149" s="21"/>
      <c r="I149" s="21"/>
      <c r="J149" s="21"/>
      <c r="K149" s="21"/>
      <c r="L149" s="21"/>
      <c r="M149" s="24"/>
      <c r="N149" s="21"/>
      <c r="O149" s="281"/>
      <c r="P149" s="21"/>
      <c r="Q149" s="21"/>
    </row>
    <row r="150" spans="2:21" x14ac:dyDescent="0.35">
      <c r="B150" s="254" t="s">
        <v>410</v>
      </c>
      <c r="C150" s="11" t="s">
        <v>411</v>
      </c>
      <c r="D150" s="11"/>
      <c r="E150" s="21"/>
      <c r="F150" s="21"/>
      <c r="G150" s="21"/>
      <c r="H150" s="21"/>
      <c r="I150" s="21"/>
      <c r="J150" s="21"/>
      <c r="K150" s="21"/>
      <c r="L150" s="21"/>
      <c r="M150" s="24"/>
      <c r="N150" s="21"/>
      <c r="O150" s="281"/>
      <c r="P150" s="21"/>
      <c r="Q150" s="21"/>
    </row>
    <row r="151" spans="2:21" x14ac:dyDescent="0.35">
      <c r="B151" s="254" t="s">
        <v>825</v>
      </c>
      <c r="C151" s="11" t="s">
        <v>824</v>
      </c>
      <c r="D151" s="11"/>
      <c r="E151" s="21"/>
      <c r="F151" s="21"/>
      <c r="G151" s="21"/>
      <c r="H151" s="21"/>
      <c r="I151" s="21"/>
      <c r="J151" s="21"/>
      <c r="K151" s="21"/>
      <c r="L151" s="21"/>
      <c r="M151" s="24"/>
      <c r="N151" s="21"/>
      <c r="O151" s="281"/>
      <c r="P151" s="21"/>
      <c r="Q151" s="21"/>
    </row>
    <row r="152" spans="2:21" ht="16" thickBot="1" x14ac:dyDescent="0.4">
      <c r="B152" s="240" t="s">
        <v>4</v>
      </c>
      <c r="C152" s="380">
        <f>(C147 - C141) / (C143 - C149)</f>
        <v>0.41958417802340958</v>
      </c>
      <c r="D152" s="11"/>
      <c r="E152" s="21"/>
      <c r="F152" s="21"/>
      <c r="G152" s="21"/>
      <c r="H152" s="21"/>
      <c r="I152" s="21"/>
      <c r="J152" s="21"/>
      <c r="K152" s="21"/>
      <c r="L152" s="21"/>
      <c r="M152" s="24"/>
      <c r="N152" s="21"/>
      <c r="O152" s="277"/>
      <c r="P152" s="21"/>
      <c r="Q152" s="21"/>
      <c r="R152" s="86"/>
      <c r="S152" s="4"/>
      <c r="T152" s="4"/>
    </row>
    <row r="153" spans="2:21" ht="16" thickBot="1" x14ac:dyDescent="0.4">
      <c r="B153" s="240" t="s">
        <v>4</v>
      </c>
      <c r="C153" s="379">
        <f>C152</f>
        <v>0.41958417802340958</v>
      </c>
      <c r="D153" s="236"/>
      <c r="E153" s="21"/>
      <c r="F153" s="21"/>
      <c r="G153" s="21"/>
      <c r="H153" s="21"/>
      <c r="I153" s="21"/>
      <c r="J153" s="21"/>
      <c r="K153" s="21"/>
      <c r="L153" s="21"/>
      <c r="M153" s="24"/>
      <c r="N153" s="21"/>
      <c r="O153" s="21"/>
      <c r="P153" s="21"/>
      <c r="Q153" s="21"/>
    </row>
    <row r="154" spans="2:21" ht="16" thickBot="1" x14ac:dyDescent="0.4">
      <c r="B154" s="254" t="s">
        <v>751</v>
      </c>
      <c r="C154" s="11" t="s">
        <v>412</v>
      </c>
      <c r="D154" s="11"/>
      <c r="E154" s="21"/>
      <c r="F154" s="21"/>
      <c r="G154" s="21"/>
      <c r="H154" s="21"/>
      <c r="I154" s="21"/>
      <c r="J154" s="21"/>
      <c r="K154" s="21"/>
      <c r="L154" s="21"/>
      <c r="M154" s="21"/>
      <c r="N154" s="24"/>
      <c r="O154" s="21"/>
      <c r="P154" s="21"/>
      <c r="Q154" s="24"/>
      <c r="R154" s="25"/>
      <c r="T154" s="317"/>
      <c r="U154" s="25"/>
    </row>
    <row r="155" spans="2:21" ht="16" thickBot="1" x14ac:dyDescent="0.4">
      <c r="B155" s="254" t="s">
        <v>4</v>
      </c>
      <c r="C155" s="318">
        <f>1 -C138^((1-C144)/C144)</f>
        <v>0.34931940787771032</v>
      </c>
      <c r="D155" s="236"/>
      <c r="E155" s="21"/>
      <c r="F155" s="21"/>
      <c r="G155" s="21"/>
      <c r="H155" s="21"/>
      <c r="I155" s="21"/>
      <c r="J155" s="21"/>
      <c r="K155" s="21"/>
      <c r="L155" s="21"/>
      <c r="M155" s="208"/>
      <c r="N155" s="24"/>
      <c r="O155" s="21"/>
      <c r="P155" s="21"/>
      <c r="Q155" s="24"/>
      <c r="R155" s="25"/>
      <c r="T155" s="317"/>
      <c r="U155" s="25"/>
    </row>
    <row r="156" spans="2:21" x14ac:dyDescent="0.35">
      <c r="B156" s="240" t="s">
        <v>4</v>
      </c>
      <c r="C156" s="265">
        <f>C155</f>
        <v>0.34931940787771032</v>
      </c>
      <c r="D156" s="236"/>
      <c r="E156" s="21"/>
      <c r="F156" s="21"/>
      <c r="G156" s="21"/>
      <c r="H156" s="21"/>
      <c r="I156" s="21"/>
      <c r="J156" s="21"/>
      <c r="K156" s="21"/>
      <c r="L156" s="21"/>
      <c r="M156" s="336"/>
      <c r="N156" s="24"/>
      <c r="O156" s="21"/>
      <c r="P156" s="21"/>
      <c r="Q156" s="24"/>
      <c r="R156" s="25"/>
      <c r="U156" s="25"/>
    </row>
    <row r="157" spans="2:21" x14ac:dyDescent="0.35">
      <c r="B157" s="240"/>
      <c r="C157" s="236"/>
      <c r="D157" s="236"/>
      <c r="E157" s="21"/>
      <c r="F157" s="21"/>
      <c r="G157" s="21"/>
      <c r="H157" s="21"/>
      <c r="I157" s="21"/>
      <c r="J157" s="21"/>
      <c r="K157" s="21"/>
      <c r="L157" s="21"/>
      <c r="M157" s="336"/>
      <c r="N157" s="24"/>
      <c r="O157" s="21"/>
      <c r="P157" s="21"/>
      <c r="Q157" s="24"/>
      <c r="R157" s="25"/>
      <c r="U157" s="25"/>
    </row>
    <row r="158" spans="2:21" x14ac:dyDescent="0.35">
      <c r="B158" s="240"/>
      <c r="C158" s="236"/>
      <c r="D158" s="236"/>
      <c r="E158" s="21"/>
      <c r="F158" s="21"/>
      <c r="G158" s="21"/>
      <c r="H158" s="21"/>
      <c r="I158" s="21"/>
      <c r="J158" s="21"/>
      <c r="K158" s="21"/>
      <c r="L158" s="21"/>
      <c r="M158" s="336"/>
      <c r="N158" s="24"/>
      <c r="O158" s="21"/>
      <c r="P158" s="21"/>
      <c r="Q158" s="24"/>
      <c r="R158" s="25"/>
      <c r="U158" s="25"/>
    </row>
    <row r="159" spans="2:21" x14ac:dyDescent="0.35">
      <c r="B159" s="246" t="s">
        <v>984</v>
      </c>
      <c r="C159" s="236"/>
      <c r="D159" s="236"/>
      <c r="E159" s="21"/>
      <c r="F159" s="21"/>
      <c r="G159" s="21"/>
      <c r="H159" s="21"/>
      <c r="I159" s="21"/>
      <c r="J159" s="21"/>
      <c r="K159" s="21"/>
      <c r="L159" s="21"/>
      <c r="M159" s="336"/>
      <c r="N159" s="24"/>
      <c r="O159" s="21"/>
      <c r="P159" s="21"/>
      <c r="Q159" s="24"/>
      <c r="R159" s="25"/>
      <c r="T159" s="25"/>
      <c r="U159" s="25"/>
    </row>
    <row r="160" spans="2:21" x14ac:dyDescent="0.35">
      <c r="B160" s="240"/>
      <c r="C160" s="236"/>
      <c r="D160" s="236"/>
      <c r="E160" s="21"/>
      <c r="F160" s="21"/>
      <c r="G160" s="21"/>
      <c r="H160" s="21"/>
      <c r="I160" s="21"/>
      <c r="J160" s="21"/>
      <c r="K160" s="21"/>
      <c r="L160" s="21"/>
      <c r="M160" s="336"/>
      <c r="N160" s="24"/>
      <c r="O160" s="21"/>
      <c r="P160" s="21"/>
      <c r="Q160" s="24"/>
      <c r="R160" s="25"/>
      <c r="T160" s="25"/>
      <c r="U160" s="25"/>
    </row>
    <row r="161" spans="2:21" x14ac:dyDescent="0.35">
      <c r="B161" s="240"/>
      <c r="C161" s="236"/>
      <c r="D161" s="236"/>
      <c r="E161" s="237"/>
      <c r="F161" s="21"/>
      <c r="G161" s="21"/>
      <c r="H161" s="21"/>
      <c r="I161" s="21"/>
      <c r="J161" s="21"/>
      <c r="K161" s="21"/>
      <c r="L161" s="21"/>
      <c r="M161" s="319"/>
      <c r="N161" s="25"/>
      <c r="Q161" s="25"/>
      <c r="R161" s="25"/>
      <c r="T161" s="25"/>
      <c r="U161" s="25"/>
    </row>
    <row r="162" spans="2:21" x14ac:dyDescent="0.35">
      <c r="B162" s="240"/>
      <c r="C162" s="236"/>
      <c r="D162" s="236"/>
      <c r="E162" s="237"/>
      <c r="F162" s="21"/>
      <c r="G162" s="21"/>
      <c r="H162" s="83"/>
      <c r="I162" s="83"/>
      <c r="J162" s="21"/>
      <c r="K162" s="23"/>
      <c r="L162" s="21"/>
      <c r="M162" s="319"/>
      <c r="N162" s="25"/>
      <c r="Q162" s="25"/>
      <c r="R162" s="25"/>
      <c r="T162" s="25"/>
      <c r="U162" s="25"/>
    </row>
    <row r="163" spans="2:21" x14ac:dyDescent="0.35">
      <c r="B163" s="240"/>
      <c r="C163" s="236"/>
      <c r="D163" s="236"/>
      <c r="E163" s="237"/>
      <c r="F163" s="21"/>
      <c r="G163" s="21"/>
      <c r="H163" s="24"/>
      <c r="I163" s="24"/>
      <c r="J163" s="160"/>
      <c r="K163" s="208"/>
      <c r="L163" s="21"/>
      <c r="M163" s="319"/>
      <c r="N163" s="25"/>
      <c r="Q163" s="25"/>
      <c r="R163" s="25"/>
      <c r="T163" s="25"/>
      <c r="U163" s="25"/>
    </row>
    <row r="164" spans="2:21" x14ac:dyDescent="0.35">
      <c r="B164" s="240"/>
      <c r="C164" s="236"/>
      <c r="D164" s="236"/>
      <c r="E164" s="237"/>
      <c r="H164" s="25"/>
      <c r="I164" s="142"/>
      <c r="J164" s="159"/>
      <c r="K164" s="204"/>
      <c r="M164" s="319"/>
      <c r="N164" s="25"/>
      <c r="Q164" s="25"/>
      <c r="R164" s="25"/>
      <c r="T164" s="25"/>
      <c r="U164" s="25"/>
    </row>
    <row r="165" spans="2:21" x14ac:dyDescent="0.35">
      <c r="B165" s="240"/>
      <c r="C165" s="236"/>
      <c r="D165" s="236"/>
      <c r="E165" s="237"/>
      <c r="G165" s="2" t="s">
        <v>752</v>
      </c>
      <c r="H165" s="25"/>
      <c r="I165" s="142"/>
      <c r="J165" s="159"/>
      <c r="K165" s="204"/>
      <c r="M165" s="319"/>
      <c r="N165" s="25"/>
      <c r="Q165" s="25"/>
      <c r="R165" s="25"/>
      <c r="T165" s="25"/>
      <c r="U165" s="25"/>
    </row>
    <row r="166" spans="2:21" x14ac:dyDescent="0.35">
      <c r="B166" s="240"/>
      <c r="C166" s="236"/>
      <c r="D166" s="236"/>
      <c r="E166" s="237"/>
      <c r="H166" s="25"/>
      <c r="I166" s="142"/>
      <c r="J166" s="159"/>
      <c r="K166" s="204"/>
      <c r="M166" s="319"/>
      <c r="N166" s="25"/>
      <c r="Q166" s="25"/>
      <c r="T166" s="25"/>
      <c r="U166" s="25"/>
    </row>
    <row r="167" spans="2:21" x14ac:dyDescent="0.35">
      <c r="B167" s="240"/>
      <c r="C167" s="236"/>
      <c r="D167" s="236"/>
      <c r="E167" s="237"/>
      <c r="H167" s="25"/>
      <c r="I167" s="142"/>
      <c r="J167" s="159"/>
      <c r="K167" s="204"/>
      <c r="M167" s="319"/>
      <c r="N167" s="25"/>
      <c r="Q167" s="25"/>
      <c r="T167" s="25"/>
      <c r="U167" s="25"/>
    </row>
    <row r="168" spans="2:21" x14ac:dyDescent="0.35">
      <c r="B168" s="240"/>
      <c r="C168" s="236"/>
      <c r="D168" s="236"/>
      <c r="E168" s="237"/>
      <c r="H168" s="25"/>
      <c r="I168" s="142"/>
      <c r="J168" s="159"/>
      <c r="K168" s="204"/>
      <c r="M168" s="319"/>
      <c r="N168" s="25"/>
      <c r="Q168" s="25"/>
      <c r="T168" s="25"/>
      <c r="U168" s="25"/>
    </row>
    <row r="169" spans="2:21" x14ac:dyDescent="0.35">
      <c r="B169" s="240"/>
      <c r="C169" s="236"/>
      <c r="D169" s="236"/>
      <c r="E169" s="237"/>
      <c r="H169" s="25"/>
      <c r="I169" s="142"/>
      <c r="M169" s="319"/>
      <c r="N169" s="25"/>
      <c r="Q169" s="25"/>
      <c r="T169" s="25"/>
      <c r="U169" s="25"/>
    </row>
    <row r="170" spans="2:21" x14ac:dyDescent="0.35">
      <c r="B170" s="240"/>
      <c r="C170" s="236"/>
      <c r="D170" s="236"/>
      <c r="E170" s="237"/>
      <c r="M170" s="319"/>
      <c r="N170" s="25"/>
      <c r="Q170" s="25"/>
      <c r="T170" s="25"/>
      <c r="U170" s="25"/>
    </row>
    <row r="171" spans="2:21" x14ac:dyDescent="0.35">
      <c r="B171" s="240"/>
      <c r="C171" s="236"/>
      <c r="D171" s="236"/>
      <c r="E171" s="237"/>
      <c r="H171" s="320"/>
      <c r="M171" s="319"/>
      <c r="N171" s="25"/>
      <c r="Q171" s="25"/>
      <c r="T171" s="25"/>
      <c r="U171" s="25"/>
    </row>
    <row r="172" spans="2:21" x14ac:dyDescent="0.35">
      <c r="B172" s="244"/>
      <c r="C172" s="236"/>
      <c r="D172" s="236"/>
      <c r="E172" s="237"/>
      <c r="M172" s="319"/>
      <c r="N172" s="25"/>
      <c r="Q172" s="25"/>
      <c r="T172" s="25"/>
      <c r="U172" s="25"/>
    </row>
    <row r="173" spans="2:21" x14ac:dyDescent="0.35">
      <c r="B173" s="240"/>
      <c r="C173" s="236"/>
      <c r="D173" s="236"/>
      <c r="E173" s="237"/>
      <c r="I173" s="29"/>
      <c r="M173" s="319"/>
      <c r="N173" s="25"/>
      <c r="Q173" s="25"/>
      <c r="T173" s="25"/>
      <c r="U173" s="25"/>
    </row>
    <row r="174" spans="2:21" x14ac:dyDescent="0.35">
      <c r="B174" s="240"/>
      <c r="C174" s="236"/>
      <c r="D174" s="236"/>
      <c r="E174" s="237"/>
      <c r="M174" s="319"/>
      <c r="N174" s="25"/>
      <c r="Q174" s="25"/>
      <c r="T174" s="25"/>
      <c r="U174" s="25"/>
    </row>
    <row r="175" spans="2:21" x14ac:dyDescent="0.35">
      <c r="B175" s="241"/>
      <c r="C175" s="236"/>
      <c r="D175" s="236"/>
      <c r="E175" s="237"/>
      <c r="M175" s="319"/>
      <c r="N175" s="25"/>
      <c r="Q175" s="25"/>
      <c r="T175" s="25"/>
      <c r="U175" s="25"/>
    </row>
    <row r="176" spans="2:21" x14ac:dyDescent="0.35">
      <c r="B176" s="241"/>
      <c r="C176" s="236"/>
      <c r="D176" s="236"/>
      <c r="E176" s="237"/>
      <c r="L176" s="204"/>
      <c r="M176" s="319"/>
      <c r="N176" s="25"/>
    </row>
    <row r="177" spans="2:14" x14ac:dyDescent="0.35">
      <c r="B177" s="240"/>
      <c r="C177" s="236"/>
      <c r="D177" s="236"/>
      <c r="E177" s="237"/>
      <c r="M177" s="319"/>
      <c r="N177" s="25"/>
    </row>
    <row r="178" spans="2:14" x14ac:dyDescent="0.35">
      <c r="B178" s="240"/>
      <c r="C178" s="236"/>
      <c r="D178" s="236"/>
      <c r="E178" s="237"/>
      <c r="L178" s="204"/>
    </row>
    <row r="179" spans="2:14" x14ac:dyDescent="0.35">
      <c r="B179" s="240"/>
      <c r="C179" s="236"/>
      <c r="D179" s="236"/>
      <c r="E179" s="237"/>
      <c r="L179" s="204"/>
    </row>
    <row r="180" spans="2:14" x14ac:dyDescent="0.35">
      <c r="B180" s="240"/>
      <c r="C180" s="236"/>
      <c r="D180" s="236"/>
      <c r="E180" s="237"/>
      <c r="L180" s="204"/>
    </row>
    <row r="181" spans="2:14" x14ac:dyDescent="0.35">
      <c r="B181" s="240"/>
      <c r="C181" s="236"/>
      <c r="D181" s="236"/>
      <c r="E181" s="237"/>
      <c r="L181" s="204"/>
    </row>
    <row r="182" spans="2:14" x14ac:dyDescent="0.35">
      <c r="B182" s="240"/>
      <c r="C182" s="236"/>
      <c r="D182" s="236"/>
      <c r="E182" s="237"/>
      <c r="L182" s="204"/>
    </row>
    <row r="183" spans="2:14" x14ac:dyDescent="0.35">
      <c r="B183" s="240"/>
      <c r="C183" s="236"/>
      <c r="D183" s="236"/>
      <c r="E183" s="237"/>
      <c r="L183" s="204"/>
    </row>
    <row r="184" spans="2:14" x14ac:dyDescent="0.35">
      <c r="B184" s="240"/>
      <c r="C184" s="236"/>
      <c r="D184" s="236"/>
      <c r="E184" s="237"/>
      <c r="L184" s="204"/>
    </row>
    <row r="185" spans="2:14" x14ac:dyDescent="0.35">
      <c r="B185" s="240"/>
      <c r="C185" s="236"/>
      <c r="D185" s="236"/>
      <c r="E185" s="237"/>
      <c r="L185" s="204"/>
    </row>
    <row r="186" spans="2:14" x14ac:dyDescent="0.35">
      <c r="B186" s="240"/>
      <c r="C186" s="236"/>
      <c r="D186" s="236"/>
      <c r="E186" s="237"/>
      <c r="L186" s="204"/>
    </row>
    <row r="187" spans="2:14" x14ac:dyDescent="0.35">
      <c r="B187" s="240"/>
      <c r="C187" s="236"/>
      <c r="D187" s="236"/>
      <c r="E187" s="237"/>
      <c r="L187" s="204"/>
    </row>
    <row r="188" spans="2:14" x14ac:dyDescent="0.35">
      <c r="B188" s="240"/>
      <c r="C188" s="236"/>
      <c r="D188" s="236"/>
      <c r="E188" s="237"/>
      <c r="L188" s="204"/>
    </row>
    <row r="189" spans="2:14" x14ac:dyDescent="0.35">
      <c r="B189" s="253" t="s">
        <v>746</v>
      </c>
      <c r="C189" s="236"/>
      <c r="D189" s="236"/>
      <c r="E189" s="237"/>
      <c r="L189" s="204"/>
    </row>
    <row r="190" spans="2:14" x14ac:dyDescent="0.35">
      <c r="B190" s="240"/>
      <c r="C190" s="236"/>
      <c r="D190" s="236"/>
      <c r="E190" s="237"/>
      <c r="L190" s="204"/>
    </row>
    <row r="191" spans="2:14" x14ac:dyDescent="0.35">
      <c r="B191" s="240"/>
      <c r="C191" s="236"/>
      <c r="D191" s="236"/>
      <c r="E191" s="237"/>
      <c r="L191" s="204"/>
    </row>
    <row r="192" spans="2:14" x14ac:dyDescent="0.35">
      <c r="B192" s="240"/>
      <c r="C192" s="236"/>
      <c r="D192" s="236"/>
      <c r="E192" s="237"/>
      <c r="L192" s="204"/>
    </row>
    <row r="193" spans="2:12" x14ac:dyDescent="0.35">
      <c r="B193" s="240"/>
      <c r="C193" s="236"/>
      <c r="D193" s="236"/>
      <c r="E193" s="237"/>
      <c r="L193" s="204"/>
    </row>
    <row r="194" spans="2:12" ht="18" x14ac:dyDescent="0.4">
      <c r="B194" s="396" t="s">
        <v>745</v>
      </c>
      <c r="C194" s="236"/>
      <c r="D194" s="236"/>
      <c r="E194" s="237"/>
      <c r="L194" s="204"/>
    </row>
    <row r="195" spans="2:12" ht="16" thickBot="1" x14ac:dyDescent="0.4">
      <c r="C195" s="239" t="s">
        <v>2</v>
      </c>
      <c r="D195" s="236"/>
      <c r="E195" s="237"/>
      <c r="H195" s="29"/>
      <c r="I195" s="321"/>
      <c r="L195" s="204"/>
    </row>
    <row r="196" spans="2:12" x14ac:dyDescent="0.35">
      <c r="B196" s="240" t="s">
        <v>831</v>
      </c>
      <c r="C196" s="322">
        <v>530</v>
      </c>
      <c r="D196" s="236" t="s">
        <v>11</v>
      </c>
      <c r="E196" s="237"/>
      <c r="H196" s="29"/>
      <c r="I196" s="321"/>
      <c r="L196" s="204"/>
    </row>
    <row r="197" spans="2:12" x14ac:dyDescent="0.35">
      <c r="B197" s="240" t="s">
        <v>832</v>
      </c>
      <c r="C197" s="135">
        <v>14.7</v>
      </c>
      <c r="D197" s="236" t="s">
        <v>15</v>
      </c>
      <c r="E197" s="237"/>
      <c r="H197" s="29"/>
      <c r="I197" s="321"/>
      <c r="L197" s="204"/>
    </row>
    <row r="198" spans="2:12" x14ac:dyDescent="0.35">
      <c r="B198" s="240" t="s">
        <v>404</v>
      </c>
      <c r="C198" s="135">
        <v>64</v>
      </c>
      <c r="D198" s="236" t="s">
        <v>15</v>
      </c>
      <c r="E198" s="237"/>
      <c r="H198" s="29"/>
      <c r="I198" s="151"/>
      <c r="L198" s="204"/>
    </row>
    <row r="199" spans="2:12" x14ac:dyDescent="0.35">
      <c r="B199" s="240" t="s">
        <v>834</v>
      </c>
      <c r="C199" s="135">
        <v>2220</v>
      </c>
      <c r="D199" s="236" t="s">
        <v>11</v>
      </c>
      <c r="E199" s="237"/>
      <c r="H199" s="29"/>
      <c r="I199" s="151"/>
      <c r="L199" s="204"/>
    </row>
    <row r="200" spans="2:12" x14ac:dyDescent="0.35">
      <c r="B200" s="240" t="s">
        <v>835</v>
      </c>
      <c r="C200" s="135">
        <v>5.0999999999999996</v>
      </c>
      <c r="D200" s="236"/>
      <c r="E200" s="237"/>
      <c r="H200" s="29"/>
      <c r="I200" s="27"/>
      <c r="L200" s="25"/>
    </row>
    <row r="201" spans="2:12" ht="21" customHeight="1" x14ac:dyDescent="0.35">
      <c r="B201" s="240" t="s">
        <v>833</v>
      </c>
      <c r="C201" s="205">
        <v>1.4</v>
      </c>
      <c r="D201" s="236"/>
      <c r="E201" s="237"/>
      <c r="H201" s="29"/>
      <c r="I201" s="92"/>
      <c r="L201" s="323"/>
    </row>
    <row r="202" spans="2:12" ht="16" thickBot="1" x14ac:dyDescent="0.4">
      <c r="B202" s="240" t="s">
        <v>983</v>
      </c>
      <c r="C202" s="91">
        <v>83</v>
      </c>
      <c r="D202" s="236" t="s">
        <v>406</v>
      </c>
      <c r="E202" s="237"/>
      <c r="F202" s="402"/>
      <c r="G202" s="402"/>
      <c r="H202" s="402"/>
      <c r="I202" s="402"/>
      <c r="J202" s="402"/>
      <c r="K202" s="402"/>
      <c r="L202" s="403"/>
    </row>
    <row r="203" spans="2:12" x14ac:dyDescent="0.35">
      <c r="B203" s="240"/>
      <c r="C203" s="236"/>
      <c r="D203" s="236"/>
      <c r="E203" s="237"/>
      <c r="F203" s="402"/>
      <c r="G203" s="402"/>
      <c r="H203" s="402"/>
      <c r="I203" s="402"/>
      <c r="J203" s="402"/>
      <c r="K203" s="402"/>
      <c r="L203" s="403"/>
    </row>
    <row r="204" spans="2:12" ht="18" x14ac:dyDescent="0.4">
      <c r="B204" s="396"/>
      <c r="C204" s="237"/>
      <c r="D204" s="237"/>
      <c r="E204" s="237"/>
      <c r="F204" s="402"/>
      <c r="G204" s="402"/>
      <c r="H204" s="402"/>
      <c r="I204" s="404"/>
      <c r="J204" s="402"/>
      <c r="K204" s="402"/>
      <c r="L204" s="403"/>
    </row>
    <row r="205" spans="2:12" x14ac:dyDescent="0.35">
      <c r="B205" s="240"/>
      <c r="C205" s="420" t="s">
        <v>849</v>
      </c>
      <c r="D205" s="392"/>
      <c r="E205" s="241"/>
      <c r="F205" s="402"/>
      <c r="G205" s="402"/>
      <c r="H205" s="404"/>
      <c r="I205" s="404"/>
      <c r="J205" s="404"/>
      <c r="K205" s="402"/>
      <c r="L205" s="403"/>
    </row>
    <row r="206" spans="2:12" x14ac:dyDescent="0.35">
      <c r="B206" s="240"/>
      <c r="C206" s="393"/>
      <c r="D206" s="326"/>
      <c r="E206" s="241"/>
      <c r="F206" s="402"/>
      <c r="G206" s="402"/>
      <c r="H206" s="404"/>
      <c r="I206" s="404"/>
      <c r="J206" s="404"/>
      <c r="K206" s="402"/>
      <c r="L206" s="403"/>
    </row>
    <row r="207" spans="2:12" x14ac:dyDescent="0.35">
      <c r="B207" s="240"/>
      <c r="C207" s="393"/>
      <c r="D207" s="326"/>
      <c r="E207" s="241"/>
      <c r="F207" s="402"/>
      <c r="G207" s="402"/>
      <c r="H207" s="404"/>
      <c r="I207" s="405"/>
      <c r="J207" s="406"/>
      <c r="K207" s="404"/>
      <c r="L207" s="403"/>
    </row>
    <row r="208" spans="2:12" x14ac:dyDescent="0.35">
      <c r="B208" s="240"/>
      <c r="C208" s="393"/>
      <c r="D208" s="326"/>
      <c r="E208" s="241"/>
      <c r="F208" s="402"/>
      <c r="G208" s="402"/>
      <c r="H208" s="404"/>
      <c r="I208" s="405"/>
      <c r="J208" s="406"/>
      <c r="K208" s="404"/>
      <c r="L208" s="403"/>
    </row>
    <row r="209" spans="2:13" x14ac:dyDescent="0.35">
      <c r="B209" s="240"/>
      <c r="C209" s="145"/>
      <c r="D209" s="324"/>
      <c r="E209" s="241"/>
      <c r="F209" s="402"/>
      <c r="G209" s="27"/>
      <c r="H209" s="404"/>
      <c r="I209" s="405"/>
      <c r="J209" s="406"/>
      <c r="K209" s="404"/>
      <c r="L209" s="403"/>
    </row>
    <row r="210" spans="2:13" x14ac:dyDescent="0.35">
      <c r="B210" s="240"/>
      <c r="C210" s="145"/>
      <c r="D210" s="324"/>
      <c r="E210" s="241"/>
      <c r="F210" s="402"/>
      <c r="G210" s="402"/>
      <c r="H210" s="404"/>
      <c r="I210" s="405"/>
      <c r="J210" s="406"/>
      <c r="K210" s="404"/>
      <c r="L210" s="403"/>
    </row>
    <row r="211" spans="2:13" x14ac:dyDescent="0.35">
      <c r="B211" s="240"/>
      <c r="C211" s="391"/>
      <c r="D211" s="326"/>
      <c r="E211" s="241"/>
      <c r="F211" s="402"/>
      <c r="G211" s="402"/>
      <c r="H211" s="404"/>
      <c r="I211" s="405"/>
      <c r="J211" s="406"/>
      <c r="K211" s="402"/>
      <c r="L211" s="403"/>
    </row>
    <row r="212" spans="2:13" x14ac:dyDescent="0.35">
      <c r="B212" s="254"/>
      <c r="C212" s="246"/>
      <c r="D212" s="246"/>
      <c r="E212" s="241"/>
      <c r="F212" s="402"/>
      <c r="G212" s="402"/>
      <c r="H212" s="404"/>
      <c r="I212" s="405"/>
      <c r="J212" s="406"/>
      <c r="K212" s="402"/>
      <c r="L212" s="403"/>
    </row>
    <row r="213" spans="2:13" x14ac:dyDescent="0.35">
      <c r="B213" s="254"/>
      <c r="C213" s="243"/>
      <c r="D213" s="246"/>
      <c r="E213" s="241"/>
      <c r="F213" s="402"/>
      <c r="G213" s="402"/>
      <c r="H213" s="404"/>
      <c r="I213" s="405"/>
      <c r="J213" s="406"/>
      <c r="K213" s="404"/>
      <c r="L213" s="403"/>
    </row>
    <row r="214" spans="2:13" x14ac:dyDescent="0.35">
      <c r="B214" s="240"/>
      <c r="C214" s="391"/>
      <c r="D214" s="392"/>
      <c r="E214" s="241"/>
      <c r="F214" s="402"/>
      <c r="G214" s="402"/>
      <c r="H214" s="404"/>
      <c r="I214" s="405"/>
      <c r="J214" s="406"/>
      <c r="K214" s="402"/>
      <c r="L214" s="403"/>
    </row>
    <row r="215" spans="2:13" x14ac:dyDescent="0.35">
      <c r="B215" s="240"/>
      <c r="C215" s="393"/>
      <c r="D215" s="326"/>
      <c r="E215" s="241"/>
      <c r="F215" s="402"/>
      <c r="G215" s="402"/>
      <c r="H215" s="404"/>
      <c r="I215" s="405"/>
      <c r="J215" s="406"/>
      <c r="K215" s="402"/>
      <c r="L215" s="403"/>
    </row>
    <row r="216" spans="2:13" x14ac:dyDescent="0.35">
      <c r="B216" s="240"/>
      <c r="C216" s="393"/>
      <c r="D216" s="326"/>
      <c r="E216" s="241"/>
      <c r="F216" s="402"/>
      <c r="G216" s="402"/>
      <c r="H216" s="404"/>
      <c r="I216" s="405"/>
      <c r="J216" s="406"/>
      <c r="K216" s="402"/>
      <c r="L216" s="403"/>
      <c r="M216" s="41"/>
    </row>
    <row r="217" spans="2:13" x14ac:dyDescent="0.35">
      <c r="B217" s="240"/>
      <c r="C217" s="393"/>
      <c r="D217" s="326"/>
      <c r="E217" s="241"/>
      <c r="F217" s="402"/>
      <c r="G217" s="407"/>
      <c r="H217" s="404"/>
      <c r="I217" s="405"/>
      <c r="J217" s="406"/>
      <c r="K217" s="408"/>
      <c r="L217" s="403"/>
      <c r="M217" s="41"/>
    </row>
    <row r="218" spans="2:13" x14ac:dyDescent="0.35">
      <c r="B218" s="240"/>
      <c r="C218" s="139"/>
      <c r="D218" s="326"/>
      <c r="E218" s="394"/>
      <c r="F218" s="402"/>
      <c r="G218" s="407"/>
      <c r="H218" s="404"/>
      <c r="I218" s="405"/>
      <c r="J218" s="406"/>
      <c r="K218" s="408"/>
      <c r="L218" s="403"/>
      <c r="M218" s="41"/>
    </row>
    <row r="219" spans="2:13" x14ac:dyDescent="0.35">
      <c r="B219" s="240"/>
      <c r="C219" s="139"/>
      <c r="D219" s="326"/>
      <c r="E219" s="241"/>
      <c r="F219" s="402"/>
      <c r="G219" s="402"/>
      <c r="H219" s="404"/>
      <c r="I219" s="405"/>
      <c r="J219" s="406"/>
      <c r="K219" s="402"/>
      <c r="L219" s="404"/>
      <c r="M219" s="41"/>
    </row>
    <row r="220" spans="2:13" x14ac:dyDescent="0.35">
      <c r="B220" s="240"/>
      <c r="C220" s="391"/>
      <c r="D220" s="326"/>
      <c r="E220" s="241"/>
      <c r="F220" s="402"/>
      <c r="G220" s="402"/>
      <c r="H220" s="404"/>
      <c r="I220" s="405"/>
      <c r="J220" s="406"/>
      <c r="K220" s="402"/>
      <c r="L220" s="406"/>
      <c r="M220" s="41"/>
    </row>
    <row r="221" spans="2:13" x14ac:dyDescent="0.35">
      <c r="B221" s="254"/>
      <c r="C221" s="246"/>
      <c r="D221" s="246"/>
      <c r="E221" s="241"/>
      <c r="F221" s="402"/>
      <c r="G221" s="402"/>
      <c r="H221" s="404"/>
      <c r="I221" s="405"/>
      <c r="J221" s="406"/>
      <c r="K221" s="402"/>
      <c r="L221" s="406"/>
      <c r="M221" s="41"/>
    </row>
    <row r="222" spans="2:13" x14ac:dyDescent="0.35">
      <c r="B222" s="254"/>
      <c r="C222" s="395"/>
      <c r="D222" s="246"/>
      <c r="E222" s="244"/>
      <c r="F222" s="402"/>
      <c r="G222" s="402"/>
      <c r="H222" s="404"/>
      <c r="I222" s="405"/>
      <c r="J222" s="406"/>
      <c r="K222" s="402"/>
      <c r="L222" s="406"/>
      <c r="M222" s="41"/>
    </row>
    <row r="223" spans="2:13" ht="18" x14ac:dyDescent="0.4">
      <c r="B223" s="396"/>
      <c r="C223" s="326"/>
      <c r="D223" s="326"/>
      <c r="E223" s="241"/>
      <c r="F223" s="402"/>
      <c r="G223" s="402"/>
      <c r="H223" s="404"/>
      <c r="I223" s="405"/>
      <c r="J223" s="406"/>
      <c r="K223" s="402"/>
      <c r="L223" s="406"/>
      <c r="M223" s="41"/>
    </row>
    <row r="224" spans="2:13" x14ac:dyDescent="0.35">
      <c r="B224" s="254"/>
      <c r="C224" s="246"/>
      <c r="D224" s="326"/>
      <c r="E224" s="241"/>
      <c r="F224" s="402"/>
      <c r="G224" s="407"/>
      <c r="H224" s="404"/>
      <c r="I224" s="405"/>
      <c r="J224" s="406"/>
      <c r="K224" s="402"/>
      <c r="L224" s="406"/>
      <c r="M224" s="41"/>
    </row>
    <row r="225" spans="2:19" x14ac:dyDescent="0.35">
      <c r="B225" s="240"/>
      <c r="C225" s="139"/>
      <c r="D225" s="326"/>
      <c r="E225" s="241"/>
      <c r="F225" s="402"/>
      <c r="G225" s="407"/>
      <c r="H225" s="404"/>
      <c r="I225" s="405"/>
      <c r="J225" s="406"/>
      <c r="K225" s="402"/>
      <c r="L225" s="406"/>
      <c r="M225" s="41"/>
    </row>
    <row r="226" spans="2:19" x14ac:dyDescent="0.35">
      <c r="B226" s="326"/>
      <c r="C226" s="391"/>
      <c r="D226" s="326"/>
      <c r="E226" s="241"/>
      <c r="F226" s="402"/>
      <c r="G226" s="402"/>
      <c r="H226" s="404"/>
      <c r="I226" s="405"/>
      <c r="J226" s="406"/>
      <c r="K226" s="402"/>
      <c r="L226" s="406"/>
      <c r="M226" s="41"/>
    </row>
    <row r="227" spans="2:19" x14ac:dyDescent="0.35">
      <c r="B227" s="240"/>
      <c r="C227" s="139"/>
      <c r="D227" s="326"/>
      <c r="E227" s="241"/>
      <c r="F227" s="402"/>
      <c r="G227" s="402"/>
      <c r="H227" s="404"/>
      <c r="I227" s="405"/>
      <c r="J227" s="406"/>
      <c r="K227" s="402"/>
      <c r="L227" s="406"/>
      <c r="M227" s="41"/>
    </row>
    <row r="228" spans="2:19" x14ac:dyDescent="0.35">
      <c r="B228" s="240"/>
      <c r="D228" s="326"/>
      <c r="E228" s="241"/>
      <c r="F228" s="402"/>
      <c r="G228" s="402"/>
      <c r="H228" s="404"/>
      <c r="I228" s="405"/>
      <c r="J228" s="406"/>
      <c r="K228" s="402"/>
      <c r="L228" s="406"/>
      <c r="M228" s="41"/>
    </row>
    <row r="229" spans="2:19" x14ac:dyDescent="0.35">
      <c r="B229" s="240"/>
      <c r="C229" s="139"/>
      <c r="D229" s="326"/>
      <c r="E229" s="241"/>
      <c r="F229" s="402"/>
      <c r="G229" s="402"/>
      <c r="H229" s="404"/>
      <c r="I229" s="405"/>
      <c r="J229" s="406"/>
      <c r="K229" s="402"/>
      <c r="L229" s="406"/>
      <c r="M229" s="41"/>
    </row>
    <row r="230" spans="2:19" x14ac:dyDescent="0.35">
      <c r="B230" s="240"/>
      <c r="C230" s="144"/>
      <c r="D230" s="326"/>
      <c r="E230" s="241"/>
      <c r="F230" s="402"/>
      <c r="G230" s="402"/>
      <c r="H230" s="404"/>
      <c r="I230" s="405"/>
      <c r="J230" s="406"/>
      <c r="K230" s="402"/>
      <c r="L230" s="406"/>
      <c r="M230" s="41"/>
    </row>
    <row r="231" spans="2:19" x14ac:dyDescent="0.35">
      <c r="B231" s="240"/>
      <c r="C231" s="144"/>
      <c r="D231" s="326"/>
      <c r="E231" s="241"/>
      <c r="F231" s="402"/>
      <c r="G231" s="407"/>
      <c r="H231" s="404"/>
      <c r="I231" s="405"/>
      <c r="J231" s="406"/>
      <c r="K231" s="408"/>
      <c r="L231" s="406"/>
      <c r="M231" s="41"/>
    </row>
    <row r="232" spans="2:19" x14ac:dyDescent="0.35">
      <c r="B232" s="240"/>
      <c r="C232" s="391"/>
      <c r="D232" s="326"/>
      <c r="E232" s="241"/>
      <c r="F232" s="402"/>
      <c r="G232" s="407"/>
      <c r="H232" s="404"/>
      <c r="I232" s="405"/>
      <c r="J232" s="406"/>
      <c r="K232" s="408"/>
      <c r="L232" s="406"/>
      <c r="M232" s="41"/>
    </row>
    <row r="233" spans="2:19" x14ac:dyDescent="0.35">
      <c r="B233" s="254"/>
      <c r="C233" s="246"/>
      <c r="D233" s="246"/>
      <c r="E233" s="241"/>
      <c r="F233" s="409"/>
      <c r="G233" s="402"/>
      <c r="H233" s="404"/>
      <c r="I233" s="405"/>
      <c r="J233" s="406"/>
      <c r="K233" s="402"/>
      <c r="L233" s="406"/>
    </row>
    <row r="234" spans="2:19" x14ac:dyDescent="0.35">
      <c r="B234" s="254"/>
      <c r="C234" s="398"/>
      <c r="D234" s="246"/>
      <c r="E234" s="241"/>
      <c r="F234" s="402"/>
      <c r="G234" s="402"/>
      <c r="H234" s="404"/>
      <c r="I234" s="405"/>
      <c r="J234" s="406"/>
      <c r="K234" s="402"/>
      <c r="L234" s="406"/>
    </row>
    <row r="235" spans="2:19" x14ac:dyDescent="0.35">
      <c r="B235" s="240"/>
      <c r="C235" s="391"/>
      <c r="D235" s="392"/>
      <c r="E235" s="241"/>
      <c r="F235" s="402"/>
      <c r="G235" s="402"/>
      <c r="H235" s="404"/>
      <c r="I235" s="405"/>
      <c r="J235" s="406"/>
      <c r="K235" s="402"/>
      <c r="L235" s="406"/>
    </row>
    <row r="236" spans="2:19" x14ac:dyDescent="0.35">
      <c r="B236" s="240"/>
      <c r="C236" s="203"/>
      <c r="D236" s="326"/>
      <c r="E236" s="241"/>
      <c r="F236" s="402"/>
      <c r="G236" s="402"/>
      <c r="H236" s="404"/>
      <c r="I236" s="405"/>
      <c r="J236" s="406"/>
      <c r="K236" s="402"/>
      <c r="L236" s="402"/>
    </row>
    <row r="237" spans="2:19" x14ac:dyDescent="0.35">
      <c r="B237" s="240"/>
      <c r="C237" s="203"/>
      <c r="D237" s="326"/>
      <c r="E237" s="241"/>
      <c r="F237" s="402"/>
      <c r="G237" s="402"/>
      <c r="H237" s="404"/>
      <c r="I237" s="405"/>
      <c r="J237" s="406"/>
      <c r="K237" s="402"/>
      <c r="L237" s="402"/>
    </row>
    <row r="238" spans="2:19" x14ac:dyDescent="0.35">
      <c r="B238" s="240"/>
      <c r="C238" s="203"/>
      <c r="D238" s="326"/>
      <c r="E238" s="241"/>
      <c r="F238" s="402"/>
      <c r="G238" s="402"/>
      <c r="H238" s="404"/>
      <c r="I238" s="405"/>
      <c r="J238" s="405"/>
      <c r="K238" s="404"/>
      <c r="L238" s="402"/>
    </row>
    <row r="239" spans="2:19" x14ac:dyDescent="0.35">
      <c r="B239" s="240"/>
      <c r="C239" s="145"/>
      <c r="D239" s="326"/>
      <c r="E239" s="241"/>
      <c r="F239" s="402"/>
      <c r="G239" s="402"/>
      <c r="H239" s="404"/>
      <c r="I239" s="405"/>
      <c r="J239" s="405"/>
      <c r="K239" s="402"/>
      <c r="L239" s="402"/>
      <c r="Q239" s="29"/>
      <c r="R239" s="27"/>
      <c r="S239" s="27"/>
    </row>
    <row r="240" spans="2:19" x14ac:dyDescent="0.35">
      <c r="B240" s="240"/>
      <c r="C240" s="145"/>
      <c r="D240" s="326"/>
      <c r="E240" s="241"/>
      <c r="F240" s="402"/>
      <c r="G240" s="402"/>
      <c r="H240" s="404"/>
      <c r="I240" s="405"/>
      <c r="J240" s="405"/>
      <c r="K240" s="404"/>
      <c r="L240" s="402"/>
      <c r="Q240" s="29"/>
      <c r="R240" s="27"/>
      <c r="S240" s="27"/>
    </row>
    <row r="241" spans="2:19" x14ac:dyDescent="0.35">
      <c r="B241" s="240"/>
      <c r="C241" s="391"/>
      <c r="D241" s="326"/>
      <c r="E241" s="241"/>
      <c r="F241" s="402"/>
      <c r="G241" s="402"/>
      <c r="H241" s="404"/>
      <c r="I241" s="405"/>
      <c r="J241" s="405"/>
      <c r="K241" s="404"/>
      <c r="L241" s="402"/>
      <c r="Q241" s="29"/>
      <c r="R241" s="27"/>
      <c r="S241" s="27"/>
    </row>
    <row r="242" spans="2:19" x14ac:dyDescent="0.35">
      <c r="B242" s="254"/>
      <c r="C242" s="246"/>
      <c r="D242" s="246"/>
      <c r="E242" s="241"/>
      <c r="F242" s="402"/>
      <c r="G242" s="402"/>
      <c r="H242" s="404"/>
      <c r="I242" s="405"/>
      <c r="J242" s="405"/>
      <c r="K242" s="404"/>
      <c r="L242" s="402"/>
      <c r="Q242" s="29"/>
      <c r="R242" s="27"/>
      <c r="S242" s="27"/>
    </row>
    <row r="243" spans="2:19" x14ac:dyDescent="0.35">
      <c r="B243" s="254"/>
      <c r="C243" s="243"/>
      <c r="D243" s="246"/>
      <c r="E243" s="241"/>
      <c r="F243" s="402"/>
      <c r="G243" s="402"/>
      <c r="H243" s="404"/>
      <c r="I243" s="405"/>
      <c r="J243" s="405"/>
      <c r="K243" s="404"/>
      <c r="L243" s="402"/>
      <c r="Q243" s="29"/>
      <c r="R243" s="27"/>
      <c r="S243" s="27"/>
    </row>
    <row r="244" spans="2:19" x14ac:dyDescent="0.35">
      <c r="B244" s="254"/>
      <c r="C244" s="246"/>
      <c r="D244" s="246"/>
      <c r="E244" s="241"/>
      <c r="F244" s="402"/>
      <c r="G244" s="402"/>
      <c r="H244" s="404"/>
      <c r="I244" s="405"/>
      <c r="J244" s="405"/>
      <c r="K244" s="404"/>
      <c r="L244" s="402"/>
      <c r="Q244" s="29"/>
      <c r="R244" s="27"/>
      <c r="S244" s="27"/>
    </row>
    <row r="245" spans="2:19" x14ac:dyDescent="0.35">
      <c r="B245" s="254"/>
      <c r="C245" s="243"/>
      <c r="D245" s="246"/>
      <c r="E245" s="241"/>
      <c r="F245" s="402"/>
      <c r="G245" s="402"/>
      <c r="H245" s="404"/>
      <c r="I245" s="405"/>
      <c r="J245" s="405"/>
      <c r="K245" s="404"/>
      <c r="L245" s="402"/>
      <c r="Q245" s="29"/>
      <c r="R245" s="27"/>
      <c r="S245" s="27"/>
    </row>
    <row r="246" spans="2:19" ht="18" x14ac:dyDescent="0.4">
      <c r="B246" s="396"/>
      <c r="C246" s="391"/>
      <c r="D246" s="326"/>
      <c r="E246" s="241"/>
      <c r="F246" s="402"/>
      <c r="G246" s="402"/>
      <c r="H246" s="404"/>
      <c r="I246" s="405"/>
      <c r="J246" s="405"/>
      <c r="K246" s="404"/>
      <c r="L246" s="402"/>
      <c r="Q246" s="29"/>
      <c r="R246" s="27"/>
      <c r="S246" s="27"/>
    </row>
    <row r="247" spans="2:19" x14ac:dyDescent="0.35">
      <c r="B247" s="254"/>
      <c r="C247" s="246"/>
      <c r="D247" s="246"/>
      <c r="E247" s="241"/>
      <c r="F247" s="402"/>
      <c r="G247" s="402"/>
      <c r="H247" s="404"/>
      <c r="I247" s="405"/>
      <c r="J247" s="405"/>
      <c r="K247" s="402"/>
      <c r="L247" s="402"/>
      <c r="Q247" s="29"/>
      <c r="R247" s="27"/>
      <c r="S247" s="27"/>
    </row>
    <row r="248" spans="2:19" x14ac:dyDescent="0.35">
      <c r="B248" s="254"/>
      <c r="C248" s="246"/>
      <c r="D248" s="246"/>
      <c r="E248" s="241"/>
      <c r="F248" s="402"/>
      <c r="G248" s="402"/>
      <c r="H248" s="404"/>
      <c r="I248" s="405"/>
      <c r="J248" s="405"/>
      <c r="K248" s="404"/>
      <c r="L248" s="402"/>
      <c r="Q248" s="29"/>
      <c r="R248" s="27"/>
      <c r="S248" s="27"/>
    </row>
    <row r="249" spans="2:19" x14ac:dyDescent="0.35">
      <c r="B249" s="240"/>
      <c r="C249" s="391"/>
      <c r="D249" s="392"/>
      <c r="E249" s="241"/>
      <c r="F249" s="402"/>
      <c r="G249" s="402"/>
      <c r="H249" s="404"/>
      <c r="I249" s="405"/>
      <c r="J249" s="405"/>
      <c r="K249" s="404"/>
      <c r="L249" s="402"/>
      <c r="Q249" s="29"/>
      <c r="R249" s="27"/>
      <c r="S249" s="27"/>
    </row>
    <row r="250" spans="2:19" x14ac:dyDescent="0.35">
      <c r="B250" s="240"/>
      <c r="C250" s="393"/>
      <c r="D250" s="326"/>
      <c r="E250" s="241"/>
      <c r="F250" s="402"/>
      <c r="G250" s="402"/>
      <c r="H250" s="404"/>
      <c r="I250" s="405"/>
      <c r="J250" s="405"/>
      <c r="K250" s="404"/>
      <c r="L250" s="402"/>
      <c r="Q250" s="152"/>
      <c r="R250" s="327"/>
      <c r="S250" s="151"/>
    </row>
    <row r="251" spans="2:19" x14ac:dyDescent="0.35">
      <c r="B251" s="240"/>
      <c r="C251" s="393"/>
      <c r="D251" s="326"/>
      <c r="E251" s="241"/>
      <c r="F251" s="402"/>
      <c r="G251" s="402"/>
      <c r="H251" s="404"/>
      <c r="I251" s="405"/>
      <c r="J251" s="405"/>
      <c r="K251" s="402"/>
      <c r="L251" s="402"/>
      <c r="Q251" s="190"/>
      <c r="R251" s="144"/>
      <c r="S251" s="151"/>
    </row>
    <row r="252" spans="2:19" x14ac:dyDescent="0.35">
      <c r="B252" s="240"/>
      <c r="C252" s="393"/>
      <c r="D252" s="326"/>
      <c r="E252" s="241"/>
      <c r="F252" s="402"/>
      <c r="G252" s="402"/>
      <c r="H252" s="404"/>
      <c r="I252" s="405"/>
      <c r="J252" s="405"/>
      <c r="K252" s="404"/>
      <c r="L252" s="402"/>
      <c r="Q252" s="190"/>
      <c r="R252" s="151"/>
      <c r="S252" s="151"/>
    </row>
    <row r="253" spans="2:19" x14ac:dyDescent="0.35">
      <c r="B253" s="240"/>
      <c r="C253" s="145"/>
      <c r="D253" s="326"/>
      <c r="E253" s="241"/>
      <c r="F253" s="402"/>
      <c r="G253" s="407"/>
      <c r="H253" s="404"/>
      <c r="I253" s="405"/>
      <c r="J253" s="405"/>
      <c r="K253" s="408"/>
      <c r="L253" s="402"/>
      <c r="Q253" s="190"/>
      <c r="R253" s="151"/>
      <c r="S253" s="151"/>
    </row>
    <row r="254" spans="2:19" x14ac:dyDescent="0.35">
      <c r="B254" s="240"/>
      <c r="C254" s="145"/>
      <c r="D254" s="326"/>
      <c r="E254" s="241"/>
      <c r="F254" s="402"/>
      <c r="G254" s="407"/>
      <c r="H254" s="404"/>
      <c r="I254" s="405"/>
      <c r="J254" s="405"/>
      <c r="K254" s="408"/>
      <c r="L254" s="402"/>
      <c r="Q254" s="190"/>
      <c r="R254" s="151"/>
      <c r="S254" s="151"/>
    </row>
    <row r="255" spans="2:19" x14ac:dyDescent="0.35">
      <c r="B255" s="240"/>
      <c r="C255" s="391"/>
      <c r="D255" s="326"/>
      <c r="E255" s="241"/>
      <c r="F255" s="402"/>
      <c r="G255" s="402"/>
      <c r="H255" s="404"/>
      <c r="I255" s="405"/>
      <c r="J255" s="405"/>
      <c r="K255" s="402"/>
      <c r="L255" s="402"/>
      <c r="Q255" s="190"/>
      <c r="R255" s="327"/>
      <c r="S255" s="151"/>
    </row>
    <row r="256" spans="2:19" x14ac:dyDescent="0.35">
      <c r="B256" s="254"/>
      <c r="C256" s="246"/>
      <c r="D256" s="246"/>
      <c r="E256" s="241"/>
      <c r="F256" s="402"/>
      <c r="G256" s="402"/>
      <c r="H256" s="404"/>
      <c r="I256" s="405"/>
      <c r="J256" s="405"/>
      <c r="K256" s="404"/>
      <c r="L256" s="402"/>
      <c r="Q256" s="152"/>
      <c r="R256" s="124"/>
      <c r="S256" s="124"/>
    </row>
    <row r="257" spans="2:19" x14ac:dyDescent="0.35">
      <c r="B257" s="254"/>
      <c r="C257" s="243"/>
      <c r="D257" s="246"/>
      <c r="E257" s="244"/>
      <c r="F257" s="402"/>
      <c r="G257" s="402"/>
      <c r="H257" s="404"/>
      <c r="I257" s="405"/>
      <c r="J257" s="405"/>
      <c r="K257" s="404"/>
      <c r="L257" s="402"/>
      <c r="Q257" s="86"/>
      <c r="R257" s="93"/>
      <c r="S257" s="4"/>
    </row>
    <row r="258" spans="2:19" x14ac:dyDescent="0.35">
      <c r="B258" s="240"/>
      <c r="C258" s="391"/>
      <c r="D258" s="392"/>
      <c r="E258" s="244"/>
      <c r="F258" s="402"/>
      <c r="G258" s="402"/>
      <c r="H258" s="404"/>
      <c r="I258" s="405"/>
      <c r="J258" s="405"/>
      <c r="K258" s="402"/>
      <c r="L258" s="402"/>
      <c r="Q258" s="86"/>
      <c r="R258" s="4"/>
      <c r="S258" s="4"/>
    </row>
    <row r="259" spans="2:19" x14ac:dyDescent="0.35">
      <c r="B259" s="240"/>
      <c r="C259" s="393"/>
      <c r="D259" s="326"/>
      <c r="E259" s="244"/>
      <c r="F259" s="402"/>
      <c r="G259" s="402"/>
      <c r="H259" s="404"/>
      <c r="I259" s="405"/>
      <c r="J259" s="405"/>
      <c r="K259" s="404"/>
      <c r="L259" s="402"/>
      <c r="Q259" s="86"/>
      <c r="R259" s="4"/>
      <c r="S259" s="4"/>
    </row>
    <row r="260" spans="2:19" x14ac:dyDescent="0.35">
      <c r="B260" s="240"/>
      <c r="C260" s="393"/>
      <c r="D260" s="326"/>
      <c r="E260" s="244"/>
      <c r="F260" s="402"/>
      <c r="G260" s="402"/>
      <c r="H260" s="404"/>
      <c r="I260" s="405"/>
      <c r="J260" s="405"/>
      <c r="K260" s="402"/>
      <c r="L260" s="402"/>
      <c r="Q260" s="86"/>
      <c r="R260" s="4"/>
      <c r="S260" s="4"/>
    </row>
    <row r="261" spans="2:19" x14ac:dyDescent="0.35">
      <c r="B261" s="240"/>
      <c r="C261" s="393"/>
      <c r="D261" s="326"/>
      <c r="E261" s="244"/>
      <c r="F261" s="402"/>
      <c r="G261" s="402"/>
      <c r="H261" s="404"/>
      <c r="I261" s="405"/>
      <c r="J261" s="405"/>
      <c r="K261" s="404"/>
      <c r="L261" s="402"/>
      <c r="Q261" s="86"/>
      <c r="R261" s="138"/>
      <c r="S261" s="4"/>
    </row>
    <row r="262" spans="2:19" x14ac:dyDescent="0.35">
      <c r="B262" s="240"/>
      <c r="C262" s="145"/>
      <c r="D262" s="326"/>
      <c r="E262" s="244"/>
      <c r="F262" s="402"/>
      <c r="G262" s="402"/>
      <c r="H262" s="404"/>
      <c r="I262" s="405"/>
      <c r="J262" s="405"/>
      <c r="K262" s="402"/>
      <c r="L262" s="402"/>
      <c r="Q262" s="86"/>
      <c r="R262" s="4"/>
      <c r="S262" s="4"/>
    </row>
    <row r="263" spans="2:19" x14ac:dyDescent="0.35">
      <c r="B263" s="240"/>
      <c r="C263" s="145"/>
      <c r="D263" s="326"/>
      <c r="E263" s="244"/>
      <c r="F263" s="402"/>
      <c r="G263" s="402"/>
      <c r="H263" s="404"/>
      <c r="I263" s="405"/>
      <c r="J263" s="405"/>
      <c r="K263" s="404"/>
      <c r="L263" s="402"/>
      <c r="Q263" s="86"/>
      <c r="R263" s="138"/>
      <c r="S263" s="4"/>
    </row>
    <row r="264" spans="2:19" x14ac:dyDescent="0.35">
      <c r="B264" s="240"/>
      <c r="C264" s="391"/>
      <c r="D264" s="326"/>
      <c r="E264" s="244"/>
      <c r="F264" s="402"/>
      <c r="G264" s="402"/>
      <c r="H264" s="404"/>
      <c r="I264" s="405"/>
      <c r="J264" s="405"/>
      <c r="K264" s="402"/>
      <c r="L264" s="402"/>
      <c r="Q264" s="86"/>
      <c r="R264" s="4"/>
      <c r="S264" s="4"/>
    </row>
    <row r="265" spans="2:19" x14ac:dyDescent="0.35">
      <c r="B265" s="254"/>
      <c r="C265" s="246"/>
      <c r="D265" s="246"/>
      <c r="E265" s="244"/>
      <c r="F265" s="402"/>
      <c r="G265" s="402"/>
      <c r="H265" s="404"/>
      <c r="I265" s="405"/>
      <c r="J265" s="405"/>
      <c r="K265" s="404"/>
      <c r="L265" s="402"/>
      <c r="Q265" s="86"/>
      <c r="R265" s="156"/>
      <c r="S265" s="4"/>
    </row>
    <row r="266" spans="2:19" x14ac:dyDescent="0.35">
      <c r="B266" s="254"/>
      <c r="C266" s="243"/>
      <c r="D266" s="246"/>
      <c r="E266" s="244"/>
      <c r="F266" s="402"/>
      <c r="G266" s="402"/>
      <c r="H266" s="404"/>
      <c r="I266" s="405"/>
      <c r="J266" s="405"/>
      <c r="K266" s="402"/>
      <c r="L266" s="402"/>
      <c r="Q266" s="86"/>
      <c r="R266" s="4"/>
      <c r="S266" s="4"/>
    </row>
    <row r="267" spans="2:19" ht="18" x14ac:dyDescent="0.4">
      <c r="B267" s="396"/>
      <c r="C267" s="391"/>
      <c r="D267" s="326"/>
      <c r="E267" s="241"/>
      <c r="F267" s="402"/>
      <c r="G267" s="407"/>
      <c r="H267" s="404"/>
      <c r="I267" s="405"/>
      <c r="J267" s="405"/>
      <c r="K267" s="408"/>
      <c r="L267" s="402"/>
      <c r="Q267" s="86"/>
      <c r="R267" s="156"/>
      <c r="S267" s="4"/>
    </row>
    <row r="268" spans="2:19" x14ac:dyDescent="0.35">
      <c r="B268" s="254"/>
      <c r="C268" s="246"/>
      <c r="D268" s="246"/>
      <c r="E268" s="241"/>
      <c r="F268" s="402"/>
      <c r="G268" s="407"/>
      <c r="H268" s="404"/>
      <c r="I268" s="405"/>
      <c r="J268" s="405"/>
      <c r="K268" s="408"/>
      <c r="L268" s="402"/>
      <c r="Q268" s="86"/>
      <c r="R268" s="4"/>
      <c r="S268" s="4"/>
    </row>
    <row r="269" spans="2:19" x14ac:dyDescent="0.35">
      <c r="B269" s="254"/>
      <c r="C269" s="246"/>
      <c r="D269" s="246"/>
      <c r="E269" s="241"/>
      <c r="F269" s="402"/>
      <c r="G269" s="402"/>
      <c r="H269" s="404"/>
      <c r="I269" s="405"/>
      <c r="J269" s="405"/>
      <c r="K269" s="404"/>
      <c r="L269" s="402"/>
      <c r="Q269" s="29"/>
      <c r="R269" s="27"/>
      <c r="S269" s="27"/>
    </row>
    <row r="270" spans="2:19" x14ac:dyDescent="0.35">
      <c r="B270" s="254"/>
      <c r="C270" s="243"/>
      <c r="D270" s="399"/>
      <c r="E270" s="241"/>
      <c r="F270" s="402"/>
      <c r="G270" s="402"/>
      <c r="H270" s="404"/>
      <c r="I270" s="405"/>
      <c r="J270" s="405"/>
      <c r="K270" s="402"/>
      <c r="L270" s="402"/>
    </row>
    <row r="271" spans="2:19" x14ac:dyDescent="0.35">
      <c r="B271" s="240"/>
      <c r="C271" s="391"/>
      <c r="D271" s="326"/>
      <c r="E271" s="241"/>
      <c r="F271" s="402"/>
      <c r="G271" s="402"/>
      <c r="H271" s="404"/>
      <c r="I271" s="405"/>
      <c r="J271" s="405"/>
      <c r="K271" s="404"/>
      <c r="L271" s="402"/>
    </row>
    <row r="272" spans="2:19" x14ac:dyDescent="0.35">
      <c r="B272" s="240"/>
      <c r="C272" s="145"/>
      <c r="D272" s="326"/>
      <c r="E272" s="241"/>
      <c r="F272" s="402"/>
      <c r="G272" s="402"/>
      <c r="H272" s="404"/>
      <c r="I272" s="405"/>
      <c r="J272" s="405"/>
      <c r="K272" s="402"/>
      <c r="L272" s="402"/>
    </row>
    <row r="273" spans="2:12" x14ac:dyDescent="0.35">
      <c r="B273" s="240"/>
      <c r="C273" s="145"/>
      <c r="D273" s="326"/>
      <c r="E273" s="263"/>
      <c r="F273" s="402"/>
      <c r="G273" s="402"/>
      <c r="H273" s="404"/>
      <c r="I273" s="405"/>
      <c r="J273" s="405"/>
      <c r="K273" s="404"/>
      <c r="L273" s="402"/>
    </row>
    <row r="274" spans="2:12" x14ac:dyDescent="0.35">
      <c r="B274" s="240"/>
      <c r="C274" s="145"/>
      <c r="D274" s="326"/>
      <c r="E274" s="263"/>
      <c r="F274" s="402"/>
      <c r="G274" s="402"/>
      <c r="H274" s="404"/>
      <c r="I274" s="405"/>
      <c r="J274" s="404"/>
      <c r="K274" s="402"/>
      <c r="L274" s="402"/>
    </row>
    <row r="275" spans="2:12" x14ac:dyDescent="0.35">
      <c r="B275" s="240"/>
      <c r="C275" s="144"/>
      <c r="D275" s="326"/>
      <c r="E275" s="263"/>
      <c r="F275" s="402"/>
      <c r="G275" s="402"/>
      <c r="H275" s="410"/>
      <c r="I275" s="411"/>
      <c r="J275" s="411"/>
      <c r="K275" s="402"/>
      <c r="L275" s="402"/>
    </row>
    <row r="276" spans="2:12" x14ac:dyDescent="0.35">
      <c r="B276" s="240"/>
      <c r="C276" s="144"/>
      <c r="D276" s="326"/>
      <c r="E276" s="263"/>
      <c r="F276" s="402"/>
      <c r="G276" s="402"/>
      <c r="H276" s="404"/>
      <c r="I276" s="405"/>
      <c r="J276" s="405"/>
      <c r="K276" s="402"/>
      <c r="L276" s="402"/>
    </row>
    <row r="277" spans="2:12" x14ac:dyDescent="0.35">
      <c r="B277" s="240"/>
      <c r="C277" s="391"/>
      <c r="D277" s="326"/>
      <c r="E277" s="263"/>
      <c r="F277" s="402"/>
      <c r="G277" s="402"/>
      <c r="H277" s="404"/>
      <c r="I277" s="405"/>
      <c r="J277" s="405"/>
      <c r="K277" s="402"/>
      <c r="L277" s="402"/>
    </row>
    <row r="278" spans="2:12" x14ac:dyDescent="0.35">
      <c r="B278" s="254"/>
      <c r="C278" s="246"/>
      <c r="D278" s="246"/>
      <c r="E278" s="263"/>
      <c r="F278" s="39"/>
      <c r="H278" s="330"/>
      <c r="I278" s="329"/>
      <c r="J278" s="329"/>
    </row>
    <row r="279" spans="2:12" x14ac:dyDescent="0.35">
      <c r="B279" s="254"/>
      <c r="C279" s="398"/>
      <c r="D279" s="246"/>
      <c r="E279" s="263"/>
      <c r="F279" s="39"/>
      <c r="H279" s="229"/>
      <c r="I279" s="328"/>
      <c r="J279" s="328"/>
    </row>
    <row r="280" spans="2:12" x14ac:dyDescent="0.35">
      <c r="B280" s="240"/>
      <c r="C280" s="391"/>
      <c r="D280" s="392"/>
      <c r="E280" s="263"/>
      <c r="F280" s="39"/>
      <c r="H280" s="229"/>
      <c r="I280" s="328"/>
      <c r="J280" s="328"/>
    </row>
    <row r="281" spans="2:12" x14ac:dyDescent="0.35">
      <c r="B281" s="240"/>
      <c r="C281" s="393"/>
      <c r="D281" s="326"/>
      <c r="E281" s="263"/>
      <c r="F281" s="39"/>
      <c r="H281" s="255"/>
      <c r="I281" s="317"/>
      <c r="J281" s="317"/>
    </row>
    <row r="282" spans="2:12" x14ac:dyDescent="0.35">
      <c r="B282" s="240"/>
      <c r="C282" s="393"/>
      <c r="D282" s="326"/>
      <c r="E282" s="263"/>
      <c r="F282" s="39"/>
      <c r="H282" s="229"/>
      <c r="I282" s="328"/>
      <c r="J282" s="328"/>
    </row>
    <row r="283" spans="2:12" x14ac:dyDescent="0.35">
      <c r="B283" s="240"/>
      <c r="C283" s="393"/>
      <c r="D283" s="326"/>
      <c r="E283" s="263"/>
      <c r="F283" s="39"/>
      <c r="H283" s="330"/>
      <c r="I283" s="329"/>
      <c r="J283" s="329"/>
    </row>
    <row r="284" spans="2:12" x14ac:dyDescent="0.35">
      <c r="B284" s="240"/>
      <c r="C284" s="145"/>
      <c r="D284" s="326"/>
      <c r="E284" s="263"/>
      <c r="F284" s="39"/>
      <c r="H284" s="229"/>
      <c r="I284" s="328"/>
      <c r="J284" s="328"/>
    </row>
    <row r="285" spans="2:12" x14ac:dyDescent="0.35">
      <c r="B285" s="240"/>
      <c r="C285" s="145"/>
      <c r="D285" s="326"/>
      <c r="E285" s="263"/>
      <c r="F285" s="39"/>
      <c r="H285" s="330"/>
      <c r="I285" s="329"/>
      <c r="J285" s="329"/>
    </row>
    <row r="286" spans="2:12" x14ac:dyDescent="0.35">
      <c r="B286" s="240"/>
      <c r="C286" s="391"/>
      <c r="D286" s="326"/>
      <c r="E286" s="263"/>
      <c r="F286" s="39"/>
    </row>
    <row r="287" spans="2:12" x14ac:dyDescent="0.35">
      <c r="B287" s="254"/>
      <c r="C287" s="246"/>
      <c r="D287" s="246"/>
      <c r="E287" s="263"/>
      <c r="F287" s="39"/>
    </row>
    <row r="288" spans="2:12" x14ac:dyDescent="0.35">
      <c r="B288" s="254"/>
      <c r="C288" s="398"/>
      <c r="D288" s="246"/>
      <c r="E288" s="263"/>
      <c r="F288" s="39"/>
    </row>
    <row r="289" spans="2:6" ht="18" x14ac:dyDescent="0.4">
      <c r="B289" s="396"/>
      <c r="C289" s="246"/>
      <c r="D289" s="246"/>
      <c r="E289" s="263"/>
      <c r="F289" s="39"/>
    </row>
    <row r="290" spans="2:6" x14ac:dyDescent="0.35">
      <c r="B290" s="254"/>
      <c r="C290" s="246"/>
      <c r="D290" s="246"/>
      <c r="E290" s="263"/>
      <c r="F290" s="39"/>
    </row>
    <row r="291" spans="2:6" x14ac:dyDescent="0.35">
      <c r="B291" s="254"/>
      <c r="C291" s="398"/>
      <c r="D291" s="246"/>
      <c r="E291" s="241"/>
      <c r="F291" s="39"/>
    </row>
    <row r="292" spans="2:6" ht="18" x14ac:dyDescent="0.4">
      <c r="B292" s="396"/>
      <c r="C292" s="246"/>
      <c r="D292" s="246"/>
      <c r="E292" s="241"/>
      <c r="F292" s="39"/>
    </row>
    <row r="293" spans="2:6" x14ac:dyDescent="0.35">
      <c r="B293" s="254"/>
      <c r="C293" s="246"/>
      <c r="D293" s="246"/>
      <c r="E293" s="241"/>
      <c r="F293" s="39"/>
    </row>
    <row r="294" spans="2:6" x14ac:dyDescent="0.35">
      <c r="B294" s="254"/>
      <c r="C294" s="246"/>
      <c r="D294" s="246"/>
      <c r="E294" s="241"/>
      <c r="F294" s="39"/>
    </row>
    <row r="295" spans="2:6" x14ac:dyDescent="0.35">
      <c r="B295" s="254"/>
      <c r="C295" s="400"/>
      <c r="D295" s="246"/>
      <c r="E295" s="241"/>
      <c r="F295" s="39"/>
    </row>
    <row r="296" spans="2:6" x14ac:dyDescent="0.35">
      <c r="B296" s="254"/>
      <c r="C296" s="414"/>
      <c r="D296" s="399"/>
      <c r="E296" s="241"/>
      <c r="F296" s="39"/>
    </row>
    <row r="297" spans="2:6" x14ac:dyDescent="0.35">
      <c r="B297" s="240"/>
      <c r="C297" s="326"/>
      <c r="D297" s="326"/>
      <c r="E297" s="241"/>
      <c r="F297" s="39"/>
    </row>
    <row r="298" spans="2:6" x14ac:dyDescent="0.35">
      <c r="C298" s="151"/>
      <c r="D298" s="151"/>
      <c r="E298" s="39"/>
      <c r="F298" s="39"/>
    </row>
    <row r="299" spans="2:6" ht="18" x14ac:dyDescent="0.4">
      <c r="B299" s="413"/>
    </row>
    <row r="311" spans="7:11" x14ac:dyDescent="0.35">
      <c r="K311" s="27"/>
    </row>
    <row r="312" spans="7:11" x14ac:dyDescent="0.35">
      <c r="G312" s="331"/>
    </row>
    <row r="313" spans="7:11" x14ac:dyDescent="0.35">
      <c r="G313" s="151"/>
    </row>
    <row r="314" spans="7:11" x14ac:dyDescent="0.35">
      <c r="G314" s="151"/>
    </row>
    <row r="315" spans="7:11" x14ac:dyDescent="0.35">
      <c r="G315" s="151"/>
    </row>
    <row r="316" spans="7:11" x14ac:dyDescent="0.35">
      <c r="G316" s="151"/>
    </row>
    <row r="317" spans="7:11" ht="21.75" customHeight="1" x14ac:dyDescent="0.35">
      <c r="G317" s="332"/>
    </row>
    <row r="318" spans="7:11" x14ac:dyDescent="0.35">
      <c r="G318" s="151"/>
    </row>
    <row r="319" spans="7:11" ht="15" customHeight="1" x14ac:dyDescent="0.35"/>
    <row r="320" spans="7:11" ht="13.5" customHeight="1" x14ac:dyDescent="0.35"/>
    <row r="331" spans="2:12" ht="18" x14ac:dyDescent="0.4">
      <c r="B331" s="413"/>
    </row>
    <row r="332" spans="2:12" x14ac:dyDescent="0.35">
      <c r="C332" s="327"/>
      <c r="D332" s="151"/>
      <c r="E332" s="39"/>
      <c r="F332" s="39"/>
      <c r="G332" s="39"/>
      <c r="H332" s="39"/>
      <c r="I332" s="39"/>
      <c r="J332" s="39"/>
      <c r="K332" s="39"/>
      <c r="L332" s="39"/>
    </row>
    <row r="333" spans="2:12" x14ac:dyDescent="0.35">
      <c r="C333" s="393"/>
      <c r="D333" s="151"/>
      <c r="E333" s="39"/>
      <c r="F333" s="39"/>
      <c r="G333" s="39"/>
      <c r="H333" s="39"/>
      <c r="I333" s="39"/>
      <c r="J333" s="39"/>
      <c r="K333" s="38"/>
      <c r="L333" s="39"/>
    </row>
    <row r="334" spans="2:12" x14ac:dyDescent="0.35">
      <c r="C334" s="144"/>
      <c r="D334" s="151"/>
      <c r="E334" s="39"/>
      <c r="F334" s="39"/>
      <c r="G334" s="39"/>
      <c r="H334" s="39"/>
      <c r="I334" s="39"/>
      <c r="J334" s="39"/>
      <c r="K334" s="39"/>
      <c r="L334" s="39"/>
    </row>
    <row r="335" spans="2:12" x14ac:dyDescent="0.35">
      <c r="C335" s="144"/>
      <c r="D335" s="151"/>
      <c r="E335" s="39"/>
      <c r="F335" s="39"/>
      <c r="G335" s="39"/>
      <c r="H335" s="39"/>
      <c r="I335" s="38"/>
      <c r="J335" s="39"/>
      <c r="K335" s="39"/>
      <c r="L335" s="39"/>
    </row>
    <row r="336" spans="2:12" x14ac:dyDescent="0.35">
      <c r="C336" s="144"/>
      <c r="D336" s="151"/>
      <c r="E336" s="39"/>
      <c r="F336" s="39"/>
      <c r="G336" s="39"/>
      <c r="H336" s="38"/>
      <c r="I336" s="38"/>
      <c r="J336" s="38"/>
      <c r="K336" s="39"/>
      <c r="L336" s="39"/>
    </row>
    <row r="337" spans="2:12" x14ac:dyDescent="0.35">
      <c r="C337" s="144"/>
      <c r="D337" s="151"/>
      <c r="E337" s="39"/>
      <c r="F337" s="39"/>
      <c r="G337" s="39"/>
      <c r="H337" s="38"/>
      <c r="I337" s="38"/>
      <c r="J337" s="38"/>
      <c r="K337" s="39"/>
      <c r="L337" s="39"/>
    </row>
    <row r="338" spans="2:12" x14ac:dyDescent="0.35">
      <c r="C338" s="203"/>
      <c r="D338" s="151"/>
      <c r="E338" s="39"/>
      <c r="F338" s="39"/>
      <c r="G338" s="39"/>
      <c r="H338" s="38"/>
      <c r="I338" s="328"/>
      <c r="J338" s="200"/>
      <c r="K338" s="39"/>
      <c r="L338" s="39"/>
    </row>
    <row r="339" spans="2:12" x14ac:dyDescent="0.35">
      <c r="C339" s="144"/>
      <c r="D339" s="151"/>
      <c r="E339" s="39"/>
      <c r="F339" s="39"/>
      <c r="G339" s="39"/>
      <c r="H339" s="38"/>
      <c r="I339" s="328"/>
      <c r="J339" s="200"/>
      <c r="K339" s="39"/>
      <c r="L339" s="39"/>
    </row>
    <row r="340" spans="2:12" x14ac:dyDescent="0.35">
      <c r="C340" s="151"/>
      <c r="D340" s="151"/>
      <c r="E340" s="39"/>
      <c r="F340" s="39"/>
      <c r="G340" s="39"/>
      <c r="H340" s="38"/>
      <c r="I340" s="328"/>
      <c r="J340" s="200"/>
      <c r="K340" s="39"/>
      <c r="L340" s="39"/>
    </row>
    <row r="341" spans="2:12" x14ac:dyDescent="0.35">
      <c r="B341" s="124"/>
      <c r="C341" s="39"/>
      <c r="D341" s="39"/>
      <c r="E341" s="39"/>
      <c r="F341" s="39"/>
      <c r="G341" s="39"/>
      <c r="H341" s="38"/>
      <c r="I341" s="328"/>
      <c r="J341" s="200"/>
      <c r="K341" s="39"/>
      <c r="L341" s="39"/>
    </row>
    <row r="342" spans="2:12" ht="14.25" customHeight="1" x14ac:dyDescent="0.35">
      <c r="C342" s="327"/>
      <c r="D342" s="415"/>
      <c r="E342" s="39"/>
      <c r="F342" s="39"/>
      <c r="G342" s="39"/>
      <c r="H342" s="41"/>
      <c r="I342" s="328"/>
      <c r="J342" s="200"/>
      <c r="K342" s="39"/>
      <c r="L342" s="39"/>
    </row>
    <row r="343" spans="2:12" x14ac:dyDescent="0.35">
      <c r="C343" s="393"/>
      <c r="D343" s="151"/>
      <c r="E343" s="39"/>
      <c r="F343" s="39"/>
      <c r="G343" s="39"/>
      <c r="H343" s="41"/>
      <c r="I343" s="328"/>
      <c r="J343" s="200"/>
      <c r="K343" s="39"/>
      <c r="L343" s="39"/>
    </row>
    <row r="344" spans="2:12" x14ac:dyDescent="0.35">
      <c r="C344" s="393"/>
      <c r="D344" s="151"/>
      <c r="E344" s="39"/>
      <c r="F344" s="39"/>
      <c r="G344" s="39"/>
      <c r="H344" s="38"/>
      <c r="I344" s="328"/>
      <c r="J344" s="200"/>
      <c r="K344" s="39"/>
      <c r="L344" s="39"/>
    </row>
    <row r="345" spans="2:12" x14ac:dyDescent="0.35">
      <c r="C345" s="393"/>
      <c r="D345" s="151"/>
      <c r="E345" s="39"/>
      <c r="F345" s="39"/>
      <c r="G345" s="39"/>
      <c r="H345" s="41"/>
      <c r="I345" s="329"/>
      <c r="J345" s="325"/>
      <c r="K345" s="39"/>
      <c r="L345" s="39"/>
    </row>
    <row r="346" spans="2:12" x14ac:dyDescent="0.35">
      <c r="C346" s="145"/>
      <c r="D346" s="333"/>
      <c r="E346" s="39"/>
      <c r="F346" s="397"/>
      <c r="G346" s="39"/>
      <c r="H346" s="41"/>
      <c r="I346" s="329"/>
      <c r="J346" s="325"/>
      <c r="K346" s="39"/>
      <c r="L346" s="39"/>
    </row>
    <row r="347" spans="2:12" x14ac:dyDescent="0.35">
      <c r="C347" s="145"/>
      <c r="D347" s="333"/>
      <c r="E347" s="39"/>
      <c r="F347" s="39"/>
      <c r="G347" s="39"/>
      <c r="H347" s="41"/>
      <c r="I347" s="329"/>
      <c r="J347" s="325"/>
      <c r="K347" s="39"/>
      <c r="L347" s="39"/>
    </row>
    <row r="348" spans="2:12" x14ac:dyDescent="0.35">
      <c r="C348" s="416"/>
      <c r="D348" s="151"/>
      <c r="E348" s="39"/>
      <c r="F348" s="39"/>
      <c r="G348" s="39"/>
      <c r="H348" s="41"/>
      <c r="I348" s="329"/>
      <c r="J348" s="325"/>
      <c r="K348" s="39"/>
      <c r="L348" s="39"/>
    </row>
    <row r="349" spans="2:12" x14ac:dyDescent="0.35">
      <c r="B349" s="152"/>
      <c r="C349" s="124"/>
      <c r="D349" s="124"/>
      <c r="E349" s="39"/>
      <c r="F349" s="39"/>
      <c r="G349" s="39"/>
      <c r="H349" s="41"/>
      <c r="I349" s="329"/>
      <c r="J349" s="325"/>
      <c r="K349" s="39"/>
      <c r="L349" s="39"/>
    </row>
    <row r="350" spans="2:12" x14ac:dyDescent="0.35">
      <c r="B350" s="152"/>
      <c r="C350" s="232"/>
      <c r="D350" s="124"/>
      <c r="E350" s="39"/>
      <c r="F350" s="39"/>
      <c r="G350" s="39"/>
      <c r="H350" s="41"/>
      <c r="I350" s="329"/>
      <c r="J350" s="325"/>
      <c r="K350" s="39"/>
      <c r="L350" s="39"/>
    </row>
    <row r="351" spans="2:12" x14ac:dyDescent="0.35">
      <c r="C351" s="327"/>
      <c r="D351" s="415"/>
      <c r="E351" s="39"/>
      <c r="F351" s="39"/>
      <c r="G351" s="39"/>
      <c r="H351" s="41"/>
      <c r="I351" s="329"/>
      <c r="J351" s="325"/>
      <c r="K351" s="39"/>
      <c r="L351" s="39"/>
    </row>
    <row r="352" spans="2:12" x14ac:dyDescent="0.35">
      <c r="C352" s="393"/>
      <c r="D352" s="151"/>
      <c r="E352" s="39"/>
      <c r="F352" s="39"/>
      <c r="G352" s="39"/>
      <c r="H352" s="41"/>
      <c r="I352" s="329"/>
      <c r="J352" s="325"/>
      <c r="K352" s="39"/>
      <c r="L352" s="39"/>
    </row>
    <row r="353" spans="2:12" x14ac:dyDescent="0.35">
      <c r="C353" s="393"/>
      <c r="D353" s="151"/>
      <c r="E353" s="39"/>
      <c r="F353" s="39"/>
      <c r="G353" s="39"/>
      <c r="H353" s="41"/>
      <c r="I353" s="329"/>
      <c r="J353" s="325"/>
      <c r="K353" s="39"/>
      <c r="L353" s="39"/>
    </row>
    <row r="354" spans="2:12" x14ac:dyDescent="0.35">
      <c r="C354" s="393"/>
      <c r="D354" s="151"/>
      <c r="E354" s="39"/>
      <c r="F354" s="39"/>
      <c r="G354" s="39"/>
      <c r="H354" s="41"/>
      <c r="I354" s="329"/>
      <c r="J354" s="325"/>
      <c r="K354" s="38"/>
      <c r="L354" s="39"/>
    </row>
    <row r="355" spans="2:12" x14ac:dyDescent="0.35">
      <c r="C355" s="139"/>
      <c r="D355" s="151"/>
      <c r="E355" s="417"/>
      <c r="F355" s="39"/>
      <c r="G355" s="39"/>
      <c r="H355" s="41"/>
      <c r="I355" s="329"/>
      <c r="J355" s="325"/>
      <c r="K355" s="39"/>
      <c r="L355" s="39"/>
    </row>
    <row r="356" spans="2:12" x14ac:dyDescent="0.35">
      <c r="C356" s="139"/>
      <c r="D356" s="151"/>
      <c r="E356" s="39"/>
      <c r="F356" s="39"/>
      <c r="G356" s="39"/>
      <c r="H356" s="41"/>
      <c r="I356" s="329"/>
      <c r="J356" s="325"/>
      <c r="K356" s="38"/>
      <c r="L356" s="39"/>
    </row>
    <row r="357" spans="2:12" x14ac:dyDescent="0.35">
      <c r="C357" s="327"/>
      <c r="D357" s="151"/>
      <c r="E357" s="39"/>
      <c r="F357" s="39"/>
      <c r="G357" s="39"/>
      <c r="H357" s="41"/>
      <c r="I357" s="329"/>
      <c r="J357" s="325"/>
      <c r="K357" s="41"/>
      <c r="L357" s="39"/>
    </row>
    <row r="358" spans="2:12" x14ac:dyDescent="0.35">
      <c r="B358" s="152"/>
      <c r="C358" s="124"/>
      <c r="D358" s="124"/>
      <c r="E358" s="39"/>
      <c r="F358" s="39"/>
      <c r="G358" s="39"/>
      <c r="H358" s="41"/>
      <c r="I358" s="329"/>
      <c r="J358" s="325"/>
      <c r="K358" s="38"/>
      <c r="L358" s="39"/>
    </row>
    <row r="359" spans="2:12" x14ac:dyDescent="0.35">
      <c r="B359" s="152"/>
      <c r="C359" s="418"/>
      <c r="D359" s="124"/>
      <c r="E359" s="122"/>
      <c r="F359" s="39"/>
      <c r="G359" s="39"/>
      <c r="H359" s="41"/>
      <c r="I359" s="329"/>
      <c r="J359" s="325"/>
      <c r="K359" s="41"/>
      <c r="L359" s="39"/>
    </row>
    <row r="360" spans="2:12" ht="18" x14ac:dyDescent="0.4">
      <c r="B360" s="413"/>
      <c r="C360" s="151"/>
      <c r="D360" s="151"/>
      <c r="E360" s="39"/>
      <c r="F360" s="39"/>
      <c r="G360" s="39"/>
      <c r="H360" s="41"/>
      <c r="I360" s="329"/>
      <c r="J360" s="325"/>
      <c r="K360" s="38"/>
      <c r="L360" s="39"/>
    </row>
    <row r="361" spans="2:12" x14ac:dyDescent="0.35">
      <c r="B361" s="152"/>
      <c r="C361" s="124"/>
      <c r="D361" s="151"/>
      <c r="E361" s="39"/>
      <c r="F361" s="39"/>
      <c r="G361" s="39"/>
      <c r="H361" s="41"/>
      <c r="I361" s="329"/>
      <c r="J361" s="325"/>
      <c r="K361" s="41"/>
      <c r="L361" s="39"/>
    </row>
    <row r="362" spans="2:12" x14ac:dyDescent="0.35">
      <c r="C362" s="418"/>
      <c r="D362" s="151"/>
      <c r="E362" s="39"/>
      <c r="F362" s="39"/>
      <c r="G362" s="39"/>
      <c r="H362" s="41"/>
      <c r="I362" s="329"/>
      <c r="J362" s="325"/>
      <c r="K362" s="38"/>
      <c r="L362" s="39"/>
    </row>
    <row r="363" spans="2:12" x14ac:dyDescent="0.35">
      <c r="C363" s="327"/>
      <c r="D363" s="151"/>
      <c r="E363" s="39"/>
      <c r="F363" s="39"/>
      <c r="G363" s="39"/>
      <c r="H363" s="41"/>
      <c r="I363" s="329"/>
      <c r="J363" s="325"/>
      <c r="K363" s="39"/>
      <c r="L363" s="39"/>
    </row>
    <row r="364" spans="2:12" x14ac:dyDescent="0.35">
      <c r="C364" s="139"/>
      <c r="D364" s="151"/>
      <c r="E364" s="39"/>
      <c r="F364" s="39"/>
      <c r="G364" s="39"/>
      <c r="H364" s="41"/>
      <c r="I364" s="329"/>
      <c r="J364" s="325"/>
      <c r="K364" s="38"/>
      <c r="L364" s="39"/>
    </row>
    <row r="365" spans="2:12" x14ac:dyDescent="0.35">
      <c r="C365" s="139"/>
      <c r="D365" s="151"/>
      <c r="E365" s="39"/>
      <c r="F365" s="39"/>
      <c r="G365" s="39"/>
      <c r="H365" s="41"/>
      <c r="I365" s="329"/>
      <c r="J365" s="325"/>
      <c r="K365" s="41"/>
      <c r="L365" s="39"/>
    </row>
    <row r="366" spans="2:12" x14ac:dyDescent="0.35">
      <c r="C366" s="139"/>
      <c r="D366" s="151"/>
      <c r="E366" s="39"/>
      <c r="F366" s="39"/>
      <c r="G366" s="39"/>
      <c r="H366" s="41"/>
      <c r="I366" s="329"/>
      <c r="J366" s="325"/>
      <c r="K366" s="38"/>
      <c r="L366" s="39"/>
    </row>
    <row r="367" spans="2:12" x14ac:dyDescent="0.35">
      <c r="C367" s="144"/>
      <c r="D367" s="151"/>
      <c r="E367" s="39"/>
      <c r="F367" s="39"/>
      <c r="G367" s="39"/>
      <c r="H367" s="41"/>
      <c r="I367" s="329"/>
      <c r="J367" s="325"/>
      <c r="K367" s="39"/>
      <c r="L367" s="39"/>
    </row>
    <row r="368" spans="2:12" x14ac:dyDescent="0.35">
      <c r="C368" s="144"/>
      <c r="D368" s="151"/>
      <c r="E368" s="39"/>
      <c r="F368" s="39"/>
      <c r="G368" s="39"/>
      <c r="H368" s="41"/>
      <c r="I368" s="329"/>
      <c r="J368" s="325"/>
      <c r="K368" s="41"/>
      <c r="L368" s="39"/>
    </row>
    <row r="369" spans="2:12" x14ac:dyDescent="0.35">
      <c r="C369" s="327"/>
      <c r="D369" s="151"/>
      <c r="E369" s="39"/>
      <c r="F369" s="39"/>
      <c r="G369" s="39"/>
      <c r="H369" s="41"/>
      <c r="I369" s="329"/>
      <c r="J369" s="329"/>
      <c r="K369" s="41"/>
      <c r="L369" s="39"/>
    </row>
    <row r="370" spans="2:12" x14ac:dyDescent="0.35">
      <c r="B370" s="152"/>
      <c r="C370" s="124"/>
      <c r="D370" s="124"/>
      <c r="E370" s="39"/>
      <c r="F370" s="39"/>
      <c r="G370" s="39"/>
      <c r="H370" s="41"/>
      <c r="I370" s="329"/>
      <c r="J370" s="329"/>
      <c r="K370" s="41"/>
      <c r="L370" s="39"/>
    </row>
    <row r="371" spans="2:12" x14ac:dyDescent="0.35">
      <c r="B371" s="152"/>
      <c r="C371" s="397"/>
      <c r="D371" s="124"/>
      <c r="E371" s="39"/>
      <c r="F371" s="39"/>
      <c r="G371" s="39"/>
      <c r="H371" s="41"/>
      <c r="I371" s="329"/>
      <c r="J371" s="329"/>
      <c r="K371" s="39"/>
      <c r="L371" s="39"/>
    </row>
    <row r="372" spans="2:12" x14ac:dyDescent="0.35">
      <c r="C372" s="327"/>
      <c r="D372" s="415"/>
      <c r="E372" s="39"/>
      <c r="F372" s="39"/>
      <c r="G372" s="39"/>
      <c r="H372" s="41"/>
      <c r="I372" s="329"/>
      <c r="J372" s="329"/>
      <c r="K372" s="38"/>
      <c r="L372" s="39"/>
    </row>
    <row r="373" spans="2:12" x14ac:dyDescent="0.35">
      <c r="C373" s="203"/>
      <c r="D373" s="151"/>
      <c r="E373" s="39"/>
      <c r="F373" s="39"/>
      <c r="G373" s="39"/>
      <c r="H373" s="41"/>
      <c r="I373" s="329"/>
      <c r="J373" s="329"/>
      <c r="K373" s="38"/>
      <c r="L373" s="39"/>
    </row>
    <row r="374" spans="2:12" x14ac:dyDescent="0.35">
      <c r="C374" s="203"/>
      <c r="D374" s="151"/>
      <c r="E374" s="39"/>
      <c r="F374" s="39"/>
      <c r="G374" s="39"/>
      <c r="H374" s="41"/>
      <c r="I374" s="329"/>
      <c r="J374" s="329"/>
      <c r="K374" s="39"/>
      <c r="L374" s="39"/>
    </row>
    <row r="375" spans="2:12" x14ac:dyDescent="0.35">
      <c r="C375" s="203"/>
      <c r="D375" s="151"/>
      <c r="E375" s="39"/>
      <c r="F375" s="39"/>
      <c r="G375" s="39"/>
      <c r="H375" s="41"/>
      <c r="I375" s="329"/>
      <c r="J375" s="329"/>
      <c r="K375" s="38"/>
      <c r="L375" s="39"/>
    </row>
    <row r="376" spans="2:12" x14ac:dyDescent="0.35">
      <c r="C376" s="145"/>
      <c r="D376" s="151"/>
      <c r="E376" s="39"/>
      <c r="F376" s="39"/>
      <c r="G376" s="39"/>
      <c r="H376" s="41"/>
      <c r="I376" s="329"/>
      <c r="J376" s="329"/>
      <c r="K376" s="39"/>
      <c r="L376" s="39"/>
    </row>
    <row r="377" spans="2:12" x14ac:dyDescent="0.35">
      <c r="C377" s="145"/>
      <c r="D377" s="151"/>
      <c r="E377" s="39"/>
      <c r="F377" s="39"/>
      <c r="G377" s="39"/>
      <c r="H377" s="41"/>
      <c r="I377" s="329"/>
      <c r="J377" s="329"/>
      <c r="K377" s="38"/>
      <c r="L377" s="39"/>
    </row>
    <row r="378" spans="2:12" x14ac:dyDescent="0.35">
      <c r="C378" s="327"/>
      <c r="D378" s="151"/>
      <c r="E378" s="39"/>
      <c r="F378" s="39"/>
      <c r="G378" s="39"/>
      <c r="H378" s="41"/>
      <c r="I378" s="329"/>
      <c r="J378" s="329"/>
      <c r="K378" s="39"/>
      <c r="L378" s="39"/>
    </row>
    <row r="379" spans="2:12" x14ac:dyDescent="0.35">
      <c r="B379" s="152"/>
      <c r="C379" s="124"/>
      <c r="D379" s="124"/>
      <c r="E379" s="39"/>
      <c r="F379" s="39"/>
      <c r="G379" s="39"/>
      <c r="H379" s="41"/>
      <c r="I379" s="329"/>
      <c r="J379" s="329"/>
      <c r="K379" s="38"/>
      <c r="L379" s="39"/>
    </row>
    <row r="380" spans="2:12" x14ac:dyDescent="0.35">
      <c r="B380" s="152"/>
      <c r="C380" s="232"/>
      <c r="D380" s="124"/>
      <c r="E380" s="39"/>
      <c r="F380" s="39"/>
      <c r="G380" s="39"/>
      <c r="H380" s="41"/>
      <c r="I380" s="329"/>
      <c r="J380" s="329"/>
      <c r="K380" s="39"/>
      <c r="L380" s="39"/>
    </row>
    <row r="381" spans="2:12" x14ac:dyDescent="0.35">
      <c r="B381" s="152"/>
      <c r="C381" s="124"/>
      <c r="D381" s="124"/>
      <c r="E381" s="39"/>
      <c r="F381" s="39"/>
      <c r="G381" s="39"/>
      <c r="H381" s="41"/>
      <c r="I381" s="329"/>
      <c r="J381" s="329"/>
      <c r="K381" s="38"/>
      <c r="L381" s="39"/>
    </row>
    <row r="382" spans="2:12" x14ac:dyDescent="0.35">
      <c r="B382" s="152"/>
      <c r="C382" s="232"/>
      <c r="D382" s="124"/>
      <c r="E382" s="39"/>
      <c r="F382" s="39"/>
      <c r="G382" s="39"/>
      <c r="H382" s="41"/>
      <c r="I382" s="329"/>
      <c r="J382" s="329"/>
      <c r="K382" s="39"/>
      <c r="L382" s="39"/>
    </row>
    <row r="383" spans="2:12" ht="18" x14ac:dyDescent="0.4">
      <c r="B383" s="413"/>
      <c r="C383" s="327"/>
      <c r="D383" s="151"/>
      <c r="E383" s="39"/>
      <c r="F383" s="39"/>
      <c r="G383" s="39"/>
      <c r="H383" s="41"/>
      <c r="I383" s="329"/>
      <c r="J383" s="329"/>
      <c r="K383" s="38"/>
      <c r="L383" s="39"/>
    </row>
    <row r="384" spans="2:12" x14ac:dyDescent="0.35">
      <c r="B384" s="152"/>
      <c r="C384" s="124"/>
      <c r="D384" s="124"/>
      <c r="E384" s="39"/>
      <c r="F384" s="39"/>
      <c r="G384" s="39"/>
      <c r="H384" s="41"/>
      <c r="I384" s="329"/>
      <c r="J384" s="329"/>
      <c r="K384" s="39"/>
      <c r="L384" s="39"/>
    </row>
    <row r="385" spans="2:12" x14ac:dyDescent="0.35">
      <c r="B385" s="152"/>
      <c r="C385" s="124"/>
      <c r="D385" s="124"/>
      <c r="E385" s="39"/>
      <c r="F385" s="39"/>
      <c r="G385" s="39"/>
      <c r="H385" s="41"/>
      <c r="I385" s="329"/>
      <c r="J385" s="329"/>
      <c r="K385" s="38"/>
      <c r="L385" s="39"/>
    </row>
    <row r="386" spans="2:12" x14ac:dyDescent="0.35">
      <c r="C386" s="327"/>
      <c r="D386" s="415"/>
      <c r="E386" s="39"/>
      <c r="F386" s="39"/>
      <c r="G386" s="39"/>
      <c r="H386" s="41"/>
      <c r="I386" s="329"/>
      <c r="J386" s="329"/>
      <c r="K386" s="39"/>
      <c r="L386" s="39"/>
    </row>
    <row r="387" spans="2:12" x14ac:dyDescent="0.35">
      <c r="C387" s="393"/>
      <c r="D387" s="151"/>
      <c r="E387" s="39"/>
      <c r="F387" s="39"/>
      <c r="G387" s="39"/>
      <c r="H387" s="41"/>
      <c r="I387" s="329"/>
      <c r="J387" s="329"/>
      <c r="K387" s="38"/>
      <c r="L387" s="39"/>
    </row>
    <row r="388" spans="2:12" x14ac:dyDescent="0.35">
      <c r="C388" s="393"/>
      <c r="D388" s="151"/>
      <c r="E388" s="39"/>
      <c r="F388" s="132"/>
      <c r="G388" s="39"/>
      <c r="H388" s="41"/>
      <c r="I388" s="329"/>
      <c r="J388" s="329"/>
      <c r="K388" s="39"/>
      <c r="L388" s="39"/>
    </row>
    <row r="389" spans="2:12" x14ac:dyDescent="0.35">
      <c r="C389" s="393"/>
      <c r="D389" s="151"/>
      <c r="E389" s="39"/>
      <c r="F389" s="132"/>
      <c r="G389" s="39"/>
      <c r="H389" s="41"/>
      <c r="I389" s="329"/>
      <c r="J389" s="329"/>
      <c r="K389" s="38"/>
      <c r="L389" s="39"/>
    </row>
    <row r="390" spans="2:12" x14ac:dyDescent="0.35">
      <c r="C390" s="145"/>
      <c r="D390" s="151"/>
      <c r="E390" s="39"/>
      <c r="F390" s="132"/>
      <c r="G390" s="39"/>
      <c r="H390" s="41"/>
      <c r="I390" s="329"/>
      <c r="J390" s="329"/>
      <c r="K390" s="39"/>
      <c r="L390" s="39"/>
    </row>
    <row r="391" spans="2:12" x14ac:dyDescent="0.35">
      <c r="C391" s="145"/>
      <c r="D391" s="151"/>
      <c r="E391" s="39"/>
      <c r="F391" s="132"/>
      <c r="G391" s="39"/>
      <c r="H391" s="41"/>
      <c r="I391" s="329"/>
      <c r="J391" s="329"/>
      <c r="K391" s="39"/>
      <c r="L391" s="39"/>
    </row>
    <row r="392" spans="2:12" x14ac:dyDescent="0.35">
      <c r="C392" s="327"/>
      <c r="D392" s="151"/>
      <c r="E392" s="39"/>
      <c r="F392" s="132"/>
      <c r="G392" s="39"/>
      <c r="H392" s="41"/>
      <c r="I392" s="329"/>
      <c r="J392" s="329"/>
      <c r="K392" s="39"/>
      <c r="L392" s="39"/>
    </row>
    <row r="393" spans="2:12" x14ac:dyDescent="0.35">
      <c r="B393" s="152"/>
      <c r="C393" s="124"/>
      <c r="D393" s="124"/>
      <c r="E393" s="39"/>
      <c r="F393" s="132"/>
      <c r="G393" s="39"/>
      <c r="H393" s="41"/>
      <c r="I393" s="329"/>
      <c r="J393" s="329"/>
      <c r="K393" s="39"/>
      <c r="L393" s="39"/>
    </row>
    <row r="394" spans="2:12" x14ac:dyDescent="0.35">
      <c r="B394" s="152"/>
      <c r="C394" s="232"/>
      <c r="D394" s="124"/>
      <c r="E394" s="122"/>
      <c r="F394" s="132"/>
      <c r="G394" s="39"/>
      <c r="H394" s="41"/>
      <c r="I394" s="329"/>
      <c r="J394" s="329"/>
      <c r="K394" s="39"/>
      <c r="L394" s="39"/>
    </row>
    <row r="395" spans="2:12" x14ac:dyDescent="0.35">
      <c r="C395" s="327"/>
      <c r="D395" s="415"/>
      <c r="E395" s="122"/>
      <c r="F395" s="132"/>
      <c r="G395" s="39"/>
      <c r="H395" s="41"/>
      <c r="I395" s="329"/>
      <c r="J395" s="329"/>
      <c r="K395" s="39"/>
      <c r="L395" s="39"/>
    </row>
    <row r="396" spans="2:12" x14ac:dyDescent="0.35">
      <c r="C396" s="393"/>
      <c r="D396" s="151"/>
      <c r="E396" s="122"/>
      <c r="F396" s="132"/>
      <c r="G396" s="39"/>
      <c r="H396" s="41"/>
      <c r="I396" s="329"/>
      <c r="J396" s="329"/>
      <c r="K396" s="39"/>
      <c r="L396" s="39"/>
    </row>
    <row r="397" spans="2:12" x14ac:dyDescent="0.35">
      <c r="C397" s="393"/>
      <c r="D397" s="151"/>
      <c r="E397" s="122"/>
      <c r="F397" s="132"/>
      <c r="G397" s="39"/>
      <c r="H397" s="41"/>
      <c r="I397" s="329"/>
      <c r="J397" s="329"/>
      <c r="K397" s="39"/>
      <c r="L397" s="39"/>
    </row>
    <row r="398" spans="2:12" x14ac:dyDescent="0.35">
      <c r="C398" s="393"/>
      <c r="D398" s="151"/>
      <c r="E398" s="122"/>
      <c r="F398" s="132"/>
      <c r="G398" s="39"/>
      <c r="H398" s="41"/>
      <c r="I398" s="329"/>
      <c r="J398" s="329"/>
      <c r="K398" s="39"/>
      <c r="L398" s="39"/>
    </row>
    <row r="399" spans="2:12" x14ac:dyDescent="0.35">
      <c r="C399" s="145"/>
      <c r="D399" s="151"/>
      <c r="E399" s="122"/>
      <c r="F399" s="132"/>
      <c r="G399" s="39"/>
      <c r="H399" s="41"/>
      <c r="I399" s="329"/>
      <c r="J399" s="329"/>
      <c r="K399" s="39"/>
      <c r="L399" s="39"/>
    </row>
    <row r="400" spans="2:12" x14ac:dyDescent="0.35">
      <c r="C400" s="145"/>
      <c r="D400" s="151"/>
      <c r="E400" s="122"/>
      <c r="F400" s="132"/>
      <c r="G400" s="132"/>
      <c r="H400" s="41"/>
      <c r="I400" s="329"/>
      <c r="J400" s="329"/>
      <c r="K400" s="39"/>
      <c r="L400" s="39"/>
    </row>
    <row r="401" spans="2:12" x14ac:dyDescent="0.35">
      <c r="C401" s="327"/>
      <c r="D401" s="151"/>
      <c r="E401" s="122"/>
      <c r="F401" s="132"/>
      <c r="G401" s="132"/>
      <c r="H401" s="41"/>
      <c r="I401" s="329"/>
      <c r="J401" s="329"/>
      <c r="K401" s="39"/>
      <c r="L401" s="39"/>
    </row>
    <row r="402" spans="2:12" x14ac:dyDescent="0.35">
      <c r="B402" s="152"/>
      <c r="C402" s="124"/>
      <c r="D402" s="124"/>
      <c r="E402" s="122"/>
      <c r="F402" s="132"/>
      <c r="G402" s="132"/>
      <c r="H402" s="41"/>
      <c r="I402" s="329"/>
      <c r="J402" s="329"/>
      <c r="K402" s="39"/>
      <c r="L402" s="39"/>
    </row>
    <row r="403" spans="2:12" x14ac:dyDescent="0.35">
      <c r="B403" s="152"/>
      <c r="C403" s="232"/>
      <c r="D403" s="124"/>
      <c r="E403" s="122"/>
      <c r="F403" s="132"/>
      <c r="G403" s="132"/>
      <c r="H403" s="41"/>
      <c r="I403" s="329"/>
      <c r="J403" s="329"/>
      <c r="K403" s="39"/>
      <c r="L403" s="39"/>
    </row>
    <row r="404" spans="2:12" ht="18" x14ac:dyDescent="0.4">
      <c r="B404" s="413"/>
      <c r="C404" s="327"/>
      <c r="D404" s="151"/>
      <c r="E404" s="39"/>
      <c r="F404" s="132"/>
      <c r="G404" s="132"/>
      <c r="H404" s="41"/>
      <c r="I404" s="329"/>
      <c r="J404" s="329"/>
      <c r="K404" s="39"/>
      <c r="L404" s="39"/>
    </row>
    <row r="405" spans="2:12" x14ac:dyDescent="0.35">
      <c r="B405" s="152"/>
      <c r="C405" s="124"/>
      <c r="D405" s="124"/>
      <c r="E405" s="39"/>
      <c r="F405" s="132"/>
      <c r="G405" s="132"/>
      <c r="H405" s="41"/>
      <c r="I405" s="329"/>
      <c r="J405" s="41"/>
      <c r="K405" s="39"/>
      <c r="L405" s="39"/>
    </row>
    <row r="406" spans="2:12" x14ac:dyDescent="0.35">
      <c r="B406" s="152"/>
      <c r="C406" s="124"/>
      <c r="D406" s="124"/>
      <c r="E406" s="39"/>
      <c r="F406" s="132"/>
      <c r="G406" s="132"/>
      <c r="H406" s="132"/>
      <c r="I406" s="132"/>
      <c r="J406" s="132"/>
      <c r="K406" s="39"/>
      <c r="L406" s="39"/>
    </row>
    <row r="407" spans="2:12" x14ac:dyDescent="0.35">
      <c r="B407" s="152"/>
      <c r="C407" s="232"/>
      <c r="D407" s="401"/>
      <c r="E407" s="39"/>
      <c r="F407" s="132"/>
      <c r="G407" s="132"/>
      <c r="H407" s="132"/>
      <c r="I407" s="132"/>
      <c r="J407" s="132"/>
      <c r="K407" s="39"/>
      <c r="L407" s="39"/>
    </row>
    <row r="408" spans="2:12" x14ac:dyDescent="0.35">
      <c r="C408" s="327"/>
      <c r="D408" s="151"/>
      <c r="E408" s="39"/>
      <c r="F408" s="132"/>
      <c r="G408" s="132"/>
      <c r="H408" s="132"/>
      <c r="I408" s="132"/>
      <c r="J408" s="132"/>
      <c r="K408" s="39"/>
      <c r="L408" s="39"/>
    </row>
    <row r="409" spans="2:12" x14ac:dyDescent="0.35">
      <c r="C409" s="145"/>
      <c r="D409" s="151"/>
      <c r="E409" s="39"/>
      <c r="F409" s="132"/>
      <c r="G409" s="132"/>
      <c r="H409" s="132"/>
      <c r="I409" s="132"/>
      <c r="J409" s="132"/>
      <c r="K409" s="39"/>
      <c r="L409" s="39"/>
    </row>
    <row r="410" spans="2:12" x14ac:dyDescent="0.35">
      <c r="C410" s="145"/>
      <c r="D410" s="151"/>
      <c r="E410" s="132"/>
      <c r="F410" s="132"/>
      <c r="G410" s="132"/>
      <c r="H410" s="132"/>
      <c r="I410" s="132"/>
      <c r="J410" s="132"/>
      <c r="K410" s="39"/>
      <c r="L410" s="39"/>
    </row>
    <row r="411" spans="2:12" x14ac:dyDescent="0.35">
      <c r="C411" s="145"/>
      <c r="D411" s="151"/>
      <c r="E411" s="132"/>
      <c r="F411" s="132"/>
      <c r="G411" s="132"/>
      <c r="H411" s="132"/>
      <c r="I411" s="132"/>
      <c r="J411" s="132"/>
      <c r="K411" s="39"/>
      <c r="L411" s="39"/>
    </row>
    <row r="412" spans="2:12" x14ac:dyDescent="0.35">
      <c r="C412" s="144"/>
      <c r="D412" s="151"/>
      <c r="E412" s="132"/>
      <c r="F412" s="132"/>
      <c r="G412" s="132"/>
      <c r="H412" s="132"/>
      <c r="I412" s="132"/>
      <c r="J412" s="132"/>
      <c r="K412" s="39"/>
      <c r="L412" s="39"/>
    </row>
    <row r="413" spans="2:12" x14ac:dyDescent="0.35">
      <c r="C413" s="144"/>
      <c r="D413" s="151"/>
      <c r="E413" s="132"/>
      <c r="F413" s="132"/>
      <c r="G413" s="132"/>
      <c r="H413" s="132"/>
      <c r="I413" s="132"/>
      <c r="J413" s="132"/>
      <c r="K413" s="39"/>
      <c r="L413" s="39"/>
    </row>
    <row r="414" spans="2:12" x14ac:dyDescent="0.35">
      <c r="C414" s="416"/>
      <c r="D414" s="151"/>
      <c r="E414" s="132"/>
      <c r="F414" s="132"/>
      <c r="G414" s="132"/>
      <c r="H414" s="132"/>
      <c r="I414" s="132"/>
      <c r="J414" s="132"/>
      <c r="K414" s="39"/>
      <c r="L414" s="39"/>
    </row>
    <row r="415" spans="2:12" x14ac:dyDescent="0.35">
      <c r="B415" s="152"/>
      <c r="C415" s="124"/>
      <c r="D415" s="124"/>
      <c r="E415" s="132"/>
      <c r="F415" s="132"/>
      <c r="G415" s="132"/>
      <c r="H415" s="132"/>
      <c r="I415" s="132"/>
      <c r="J415" s="132"/>
      <c r="K415" s="39"/>
      <c r="L415" s="39"/>
    </row>
    <row r="416" spans="2:12" x14ac:dyDescent="0.35">
      <c r="B416" s="152"/>
      <c r="C416" s="397"/>
      <c r="D416" s="124"/>
      <c r="E416" s="132"/>
      <c r="F416" s="132"/>
      <c r="G416" s="132"/>
      <c r="H416" s="132"/>
      <c r="I416" s="132"/>
      <c r="J416" s="132"/>
      <c r="K416" s="39"/>
      <c r="L416" s="39"/>
    </row>
    <row r="417" spans="2:12" x14ac:dyDescent="0.35">
      <c r="C417" s="327"/>
      <c r="D417" s="415"/>
      <c r="E417" s="132"/>
      <c r="F417" s="132"/>
      <c r="G417" s="132"/>
      <c r="H417" s="132"/>
      <c r="I417" s="132"/>
      <c r="J417" s="132"/>
      <c r="K417" s="39"/>
      <c r="L417" s="39"/>
    </row>
    <row r="418" spans="2:12" x14ac:dyDescent="0.35">
      <c r="C418" s="393"/>
      <c r="D418" s="151"/>
      <c r="E418" s="132"/>
      <c r="F418" s="132"/>
      <c r="G418" s="132"/>
      <c r="H418" s="132"/>
      <c r="I418" s="132"/>
      <c r="J418" s="132"/>
      <c r="K418" s="39"/>
      <c r="L418" s="39"/>
    </row>
    <row r="419" spans="2:12" x14ac:dyDescent="0.35">
      <c r="C419" s="393"/>
      <c r="D419" s="151"/>
      <c r="E419" s="132"/>
      <c r="F419" s="132"/>
      <c r="G419" s="132"/>
      <c r="H419" s="132"/>
      <c r="I419" s="132"/>
      <c r="J419" s="132"/>
      <c r="K419" s="39"/>
      <c r="L419" s="39"/>
    </row>
    <row r="420" spans="2:12" x14ac:dyDescent="0.35">
      <c r="C420" s="393"/>
      <c r="D420" s="151"/>
      <c r="E420" s="132"/>
      <c r="F420" s="132"/>
      <c r="G420" s="132"/>
      <c r="H420" s="132"/>
      <c r="I420" s="132"/>
      <c r="J420" s="132"/>
      <c r="K420" s="39"/>
      <c r="L420" s="39"/>
    </row>
    <row r="421" spans="2:12" x14ac:dyDescent="0.35">
      <c r="C421" s="145"/>
      <c r="D421" s="151"/>
      <c r="E421" s="132"/>
      <c r="F421" s="132"/>
      <c r="G421" s="132"/>
      <c r="H421" s="132"/>
      <c r="I421" s="132"/>
      <c r="J421" s="132"/>
      <c r="K421" s="39"/>
      <c r="L421" s="39"/>
    </row>
    <row r="422" spans="2:12" x14ac:dyDescent="0.35">
      <c r="C422" s="145"/>
      <c r="D422" s="151"/>
      <c r="E422" s="132"/>
      <c r="F422" s="132"/>
      <c r="G422" s="132"/>
      <c r="H422" s="132"/>
      <c r="I422" s="132"/>
      <c r="J422" s="132"/>
      <c r="K422" s="39"/>
      <c r="L422" s="39"/>
    </row>
    <row r="423" spans="2:12" x14ac:dyDescent="0.35">
      <c r="C423" s="327"/>
      <c r="D423" s="151"/>
      <c r="E423" s="132"/>
      <c r="F423" s="132"/>
      <c r="G423" s="132"/>
      <c r="H423" s="132"/>
      <c r="I423" s="132"/>
      <c r="J423" s="132"/>
      <c r="K423" s="39"/>
      <c r="L423" s="39"/>
    </row>
    <row r="424" spans="2:12" x14ac:dyDescent="0.35">
      <c r="B424" s="152"/>
      <c r="C424" s="124"/>
      <c r="D424" s="124"/>
      <c r="E424" s="132"/>
      <c r="F424" s="132"/>
      <c r="G424" s="132"/>
      <c r="H424" s="132"/>
      <c r="I424" s="132"/>
      <c r="J424" s="132"/>
      <c r="K424" s="39"/>
      <c r="L424" s="39"/>
    </row>
    <row r="425" spans="2:12" x14ac:dyDescent="0.35">
      <c r="B425" s="152"/>
      <c r="C425" s="397"/>
      <c r="D425" s="124"/>
      <c r="E425" s="132"/>
      <c r="F425" s="132"/>
      <c r="G425" s="132"/>
      <c r="H425" s="132"/>
      <c r="I425" s="132"/>
      <c r="J425" s="132"/>
      <c r="K425" s="39"/>
      <c r="L425" s="39"/>
    </row>
    <row r="426" spans="2:12" ht="18" x14ac:dyDescent="0.4">
      <c r="B426" s="413"/>
      <c r="C426" s="124"/>
      <c r="D426" s="124"/>
      <c r="E426" s="132"/>
      <c r="F426" s="132"/>
      <c r="G426" s="132"/>
      <c r="H426" s="132"/>
      <c r="I426" s="132"/>
      <c r="J426" s="132"/>
      <c r="K426" s="39"/>
      <c r="L426" s="39"/>
    </row>
    <row r="427" spans="2:12" x14ac:dyDescent="0.35">
      <c r="B427" s="152"/>
      <c r="C427" s="124"/>
      <c r="D427" s="124"/>
      <c r="E427" s="132"/>
      <c r="F427" s="132"/>
      <c r="G427" s="132"/>
      <c r="H427" s="132"/>
      <c r="I427" s="132"/>
      <c r="J427" s="132"/>
      <c r="K427" s="39"/>
      <c r="L427" s="39"/>
    </row>
    <row r="428" spans="2:12" x14ac:dyDescent="0.35">
      <c r="B428" s="152"/>
      <c r="C428" s="397"/>
      <c r="D428" s="124"/>
      <c r="E428" s="39"/>
      <c r="F428" s="132"/>
      <c r="G428" s="132"/>
      <c r="H428" s="132"/>
      <c r="I428" s="132"/>
      <c r="J428" s="132"/>
      <c r="K428" s="39"/>
      <c r="L428" s="39"/>
    </row>
    <row r="429" spans="2:12" ht="18" x14ac:dyDescent="0.4">
      <c r="B429" s="413"/>
      <c r="C429" s="4"/>
      <c r="D429" s="4"/>
      <c r="F429" s="132"/>
      <c r="G429" s="132"/>
      <c r="H429" s="132"/>
      <c r="I429" s="132"/>
      <c r="J429" s="132"/>
    </row>
    <row r="430" spans="2:12" x14ac:dyDescent="0.35">
      <c r="B430" s="152"/>
      <c r="C430" s="4"/>
      <c r="D430" s="4"/>
      <c r="F430" s="132"/>
      <c r="G430" s="132"/>
      <c r="H430" s="132"/>
      <c r="I430" s="132"/>
      <c r="J430" s="132"/>
    </row>
    <row r="431" spans="2:12" x14ac:dyDescent="0.35">
      <c r="B431" s="152"/>
      <c r="C431" s="4"/>
      <c r="D431" s="4"/>
      <c r="F431" s="132"/>
      <c r="G431" s="132"/>
      <c r="H431" s="132"/>
      <c r="I431" s="132"/>
      <c r="J431" s="132"/>
    </row>
    <row r="432" spans="2:12" x14ac:dyDescent="0.35">
      <c r="B432" s="152"/>
      <c r="C432" s="166"/>
      <c r="D432" s="4"/>
      <c r="F432" s="132"/>
      <c r="G432" s="132"/>
      <c r="H432" s="132"/>
      <c r="I432" s="132"/>
      <c r="J432" s="132"/>
    </row>
    <row r="433" spans="2:10" x14ac:dyDescent="0.35">
      <c r="B433" s="152"/>
      <c r="C433" s="210"/>
      <c r="D433" s="158"/>
      <c r="F433" s="132"/>
      <c r="G433" s="132"/>
      <c r="H433" s="132"/>
      <c r="I433" s="132"/>
      <c r="J433" s="132"/>
    </row>
    <row r="434" spans="2:10" x14ac:dyDescent="0.35">
      <c r="H434" s="132"/>
      <c r="I434" s="132"/>
      <c r="J434" s="132"/>
    </row>
    <row r="435" spans="2:10" x14ac:dyDescent="0.35">
      <c r="H435" s="132"/>
      <c r="I435" s="132"/>
      <c r="J435" s="132"/>
    </row>
    <row r="436" spans="2:10" x14ac:dyDescent="0.35">
      <c r="B436" s="124"/>
      <c r="H436" s="132"/>
      <c r="I436" s="132"/>
      <c r="J436" s="132"/>
    </row>
    <row r="437" spans="2:10" x14ac:dyDescent="0.35">
      <c r="B437" s="39"/>
      <c r="C437" s="20"/>
      <c r="D437" s="20"/>
    </row>
    <row r="438" spans="2:10" x14ac:dyDescent="0.35">
      <c r="B438" s="39"/>
      <c r="C438" s="20"/>
      <c r="D438" s="20"/>
    </row>
    <row r="439" spans="2:10" x14ac:dyDescent="0.35">
      <c r="B439" s="39"/>
      <c r="C439" s="20"/>
      <c r="D439" s="20"/>
    </row>
    <row r="440" spans="2:10" x14ac:dyDescent="0.35">
      <c r="B440" s="39"/>
      <c r="C440" s="20"/>
      <c r="D440" s="20"/>
    </row>
    <row r="441" spans="2:10" x14ac:dyDescent="0.35">
      <c r="B441" s="39"/>
      <c r="C441" s="20"/>
      <c r="D441" s="20"/>
    </row>
    <row r="442" spans="2:10" x14ac:dyDescent="0.35">
      <c r="B442" s="39"/>
      <c r="C442" s="20"/>
      <c r="D442" s="20"/>
    </row>
    <row r="443" spans="2:10" x14ac:dyDescent="0.35">
      <c r="B443" s="39"/>
      <c r="C443" s="20"/>
      <c r="D443" s="20"/>
    </row>
    <row r="444" spans="2:10" x14ac:dyDescent="0.35">
      <c r="B444" s="39"/>
      <c r="C444" s="20"/>
      <c r="D444" s="20"/>
    </row>
    <row r="445" spans="2:10" x14ac:dyDescent="0.35">
      <c r="B445" s="39"/>
      <c r="C445" s="20"/>
      <c r="D445" s="20"/>
    </row>
    <row r="446" spans="2:10" x14ac:dyDescent="0.35">
      <c r="B446" s="39"/>
      <c r="C446" s="20"/>
      <c r="D446" s="20"/>
    </row>
    <row r="447" spans="2:10" x14ac:dyDescent="0.35">
      <c r="B447" s="39"/>
      <c r="C447" s="20"/>
      <c r="D447" s="20"/>
    </row>
    <row r="450" spans="2:2" s="20" customFormat="1" x14ac:dyDescent="0.35">
      <c r="B450" s="39"/>
    </row>
  </sheetData>
  <sheetProtection sheet="1" objects="1" scenarios="1" selectLockedCells="1"/>
  <phoneticPr fontId="4" type="noConversion"/>
  <pageMargins left="0.75" right="0.75" top="1" bottom="1" header="0.5" footer="0.5"/>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D128"/>
  <sheetViews>
    <sheetView workbookViewId="0">
      <selection activeCell="M24" sqref="M24"/>
    </sheetView>
  </sheetViews>
  <sheetFormatPr defaultRowHeight="15.5" x14ac:dyDescent="0.35"/>
  <cols>
    <col min="1" max="1" width="7.26953125" style="20" customWidth="1"/>
    <col min="2" max="8" width="8.7265625" style="20"/>
    <col min="9" max="9" width="10.36328125" style="20" customWidth="1"/>
    <col min="10" max="16384" width="8.7265625" style="20"/>
  </cols>
  <sheetData>
    <row r="1" spans="2:30" ht="20" x14ac:dyDescent="0.4">
      <c r="B1" s="307" t="s">
        <v>978</v>
      </c>
      <c r="C1" s="237"/>
      <c r="D1" s="237"/>
      <c r="E1" s="237"/>
      <c r="F1" s="237"/>
      <c r="G1" s="237"/>
      <c r="H1" s="237"/>
      <c r="I1" s="237"/>
      <c r="J1" s="237"/>
      <c r="K1" s="21"/>
      <c r="L1" s="21"/>
      <c r="M1" s="21"/>
      <c r="N1" s="21"/>
      <c r="O1" s="21"/>
      <c r="P1" s="21"/>
      <c r="Q1" s="21"/>
      <c r="R1" s="21"/>
      <c r="S1" s="21"/>
      <c r="T1" s="21"/>
      <c r="U1" s="21"/>
      <c r="V1" s="21"/>
      <c r="W1" s="21"/>
      <c r="X1" s="21"/>
      <c r="Y1" s="21"/>
      <c r="Z1" s="21"/>
      <c r="AA1" s="21"/>
      <c r="AB1" s="21"/>
      <c r="AC1" s="21"/>
      <c r="AD1" s="21"/>
    </row>
    <row r="2" spans="2:30" x14ac:dyDescent="0.35">
      <c r="B2" s="236"/>
      <c r="C2" s="236"/>
      <c r="D2" s="236"/>
      <c r="E2" s="237"/>
      <c r="F2" s="237"/>
      <c r="G2" s="237"/>
      <c r="H2" s="237"/>
      <c r="I2" s="237"/>
      <c r="J2" s="237"/>
      <c r="K2" s="21"/>
      <c r="L2" s="21"/>
      <c r="M2" s="21"/>
      <c r="N2" s="21"/>
      <c r="O2" s="21"/>
      <c r="P2" s="21"/>
      <c r="Q2" s="21"/>
      <c r="R2" s="21"/>
      <c r="S2" s="21"/>
      <c r="T2" s="21"/>
      <c r="U2" s="21"/>
      <c r="V2" s="21"/>
      <c r="W2" s="21"/>
      <c r="X2" s="21"/>
      <c r="Y2" s="21"/>
      <c r="Z2" s="21"/>
      <c r="AA2" s="21"/>
      <c r="AB2" s="21"/>
      <c r="AC2" s="21"/>
      <c r="AD2" s="21"/>
    </row>
    <row r="3" spans="2:30" ht="16" thickBot="1" x14ac:dyDescent="0.4">
      <c r="B3" s="16"/>
      <c r="C3" s="236"/>
      <c r="D3" s="237"/>
      <c r="E3" s="237"/>
      <c r="F3" s="237"/>
      <c r="G3" s="237"/>
      <c r="H3" s="237"/>
      <c r="I3" s="237"/>
      <c r="J3" s="237"/>
      <c r="K3" s="21"/>
      <c r="L3" s="337"/>
      <c r="M3" s="21"/>
      <c r="N3" s="21"/>
      <c r="O3" s="21"/>
      <c r="P3" s="21"/>
      <c r="Q3" s="21"/>
      <c r="R3" s="21"/>
      <c r="S3" s="21"/>
      <c r="T3" s="21"/>
      <c r="U3" s="21"/>
      <c r="V3" s="21"/>
      <c r="W3" s="21"/>
      <c r="X3" s="21"/>
      <c r="Y3" s="21"/>
      <c r="Z3" s="21"/>
      <c r="AA3" s="21"/>
      <c r="AB3" s="21"/>
      <c r="AC3" s="21"/>
      <c r="AD3" s="21"/>
    </row>
    <row r="4" spans="2:30" ht="16" thickBot="1" x14ac:dyDescent="0.4">
      <c r="B4" s="238"/>
      <c r="C4" s="236"/>
      <c r="D4" s="338" t="s">
        <v>81</v>
      </c>
      <c r="E4" s="49"/>
      <c r="F4" s="49"/>
      <c r="G4" s="49"/>
      <c r="H4" s="49"/>
      <c r="I4" s="50"/>
      <c r="J4" s="237"/>
      <c r="K4" s="21"/>
      <c r="L4" s="21"/>
      <c r="M4" s="21"/>
      <c r="N4" s="21"/>
      <c r="O4" s="21"/>
      <c r="P4" s="21"/>
      <c r="Q4" s="21"/>
      <c r="R4" s="21"/>
      <c r="S4" s="21"/>
      <c r="T4" s="21"/>
      <c r="U4" s="21"/>
      <c r="V4" s="21"/>
      <c r="W4" s="21"/>
      <c r="X4" s="21"/>
      <c r="Y4" s="21"/>
      <c r="Z4" s="21"/>
      <c r="AA4" s="21"/>
      <c r="AB4" s="21"/>
      <c r="AC4" s="21"/>
      <c r="AD4" s="21"/>
    </row>
    <row r="5" spans="2:30" x14ac:dyDescent="0.35">
      <c r="B5" s="339" t="s">
        <v>82</v>
      </c>
      <c r="C5" s="237"/>
      <c r="D5" s="237"/>
      <c r="E5" s="237"/>
      <c r="F5" s="237"/>
      <c r="G5" s="237"/>
      <c r="H5" s="237"/>
      <c r="I5" s="237"/>
      <c r="J5" s="237"/>
      <c r="K5" s="21"/>
      <c r="L5" s="21"/>
      <c r="M5" s="21"/>
      <c r="N5" s="21"/>
      <c r="O5" s="21"/>
      <c r="P5" s="21"/>
      <c r="Q5" s="21"/>
      <c r="R5" s="21"/>
      <c r="S5" s="21"/>
      <c r="T5" s="21"/>
      <c r="U5" s="21"/>
      <c r="V5" s="21"/>
      <c r="W5" s="21"/>
      <c r="X5" s="21"/>
      <c r="Y5" s="21"/>
      <c r="Z5" s="21"/>
      <c r="AA5" s="21"/>
      <c r="AB5" s="21"/>
      <c r="AC5" s="21"/>
      <c r="AD5" s="21"/>
    </row>
    <row r="6" spans="2:30" x14ac:dyDescent="0.35">
      <c r="B6" s="340" t="s">
        <v>83</v>
      </c>
      <c r="C6" s="237"/>
      <c r="D6" s="237"/>
      <c r="E6" s="237"/>
      <c r="F6" s="237"/>
      <c r="G6" s="237"/>
      <c r="H6" s="237"/>
      <c r="I6" s="237"/>
      <c r="J6" s="237"/>
      <c r="K6" s="21"/>
      <c r="L6" s="21"/>
      <c r="M6" s="21"/>
      <c r="N6" s="21"/>
      <c r="O6" s="21"/>
      <c r="P6" s="21"/>
      <c r="Q6" s="21"/>
      <c r="R6" s="21"/>
      <c r="S6" s="21"/>
      <c r="T6" s="21"/>
      <c r="U6" s="21"/>
      <c r="V6" s="21"/>
      <c r="W6" s="21"/>
      <c r="X6" s="21"/>
      <c r="Y6" s="21"/>
      <c r="Z6" s="21"/>
      <c r="AA6" s="21"/>
      <c r="AB6" s="21"/>
      <c r="AC6" s="21"/>
      <c r="AD6" s="21"/>
    </row>
    <row r="7" spans="2:30" x14ac:dyDescent="0.35">
      <c r="B7" s="340" t="s">
        <v>84</v>
      </c>
      <c r="C7" s="237"/>
      <c r="D7" s="237"/>
      <c r="E7" s="237"/>
      <c r="F7" s="237"/>
      <c r="G7" s="237"/>
      <c r="H7" s="237"/>
      <c r="I7" s="237"/>
      <c r="J7" s="237"/>
      <c r="K7" s="21"/>
      <c r="L7" s="21"/>
      <c r="M7" s="21"/>
      <c r="N7" s="21"/>
      <c r="O7" s="21"/>
      <c r="P7" s="21"/>
      <c r="Q7" s="21"/>
      <c r="R7" s="21"/>
      <c r="S7" s="21"/>
      <c r="T7" s="21"/>
      <c r="U7" s="21"/>
      <c r="V7" s="21"/>
      <c r="W7" s="21"/>
      <c r="X7" s="21"/>
      <c r="Y7" s="21"/>
      <c r="Z7" s="21"/>
      <c r="AA7" s="21"/>
      <c r="AB7" s="21"/>
      <c r="AC7" s="21"/>
      <c r="AD7" s="21"/>
    </row>
    <row r="8" spans="2:30" x14ac:dyDescent="0.35">
      <c r="B8" s="340" t="s">
        <v>85</v>
      </c>
      <c r="C8" s="237"/>
      <c r="D8" s="237"/>
      <c r="E8" s="237"/>
      <c r="F8" s="237"/>
      <c r="G8" s="237"/>
      <c r="H8" s="237"/>
      <c r="I8" s="237"/>
      <c r="J8" s="237"/>
      <c r="K8" s="21"/>
      <c r="L8" s="21"/>
      <c r="M8" s="21"/>
      <c r="N8" s="21"/>
      <c r="O8" s="21"/>
      <c r="P8" s="21"/>
      <c r="Q8" s="21"/>
      <c r="R8" s="21"/>
      <c r="S8" s="21"/>
      <c r="T8" s="21"/>
      <c r="U8" s="21"/>
      <c r="V8" s="21"/>
      <c r="W8" s="21"/>
      <c r="X8" s="21"/>
      <c r="Y8" s="21"/>
      <c r="Z8" s="21"/>
      <c r="AA8" s="21"/>
      <c r="AB8" s="21"/>
      <c r="AC8" s="21"/>
      <c r="AD8" s="21"/>
    </row>
    <row r="9" spans="2:30" x14ac:dyDescent="0.35">
      <c r="B9" s="340" t="s">
        <v>86</v>
      </c>
      <c r="C9" s="237"/>
      <c r="D9" s="237"/>
      <c r="E9" s="237"/>
      <c r="F9" s="237"/>
      <c r="G9" s="237"/>
      <c r="H9" s="237"/>
      <c r="I9" s="237"/>
      <c r="J9" s="237"/>
      <c r="K9" s="21"/>
      <c r="L9" s="21"/>
      <c r="M9" s="21"/>
      <c r="N9" s="21"/>
      <c r="O9" s="21"/>
      <c r="P9" s="21"/>
      <c r="Q9" s="21"/>
      <c r="R9" s="21"/>
      <c r="S9" s="21"/>
      <c r="T9" s="21"/>
      <c r="U9" s="21"/>
      <c r="V9" s="21"/>
      <c r="W9" s="21"/>
      <c r="X9" s="21"/>
      <c r="Y9" s="21"/>
      <c r="Z9" s="21"/>
      <c r="AA9" s="21"/>
      <c r="AB9" s="21"/>
      <c r="AC9" s="21"/>
      <c r="AD9" s="21"/>
    </row>
    <row r="10" spans="2:30" x14ac:dyDescent="0.35">
      <c r="B10" s="340" t="s">
        <v>87</v>
      </c>
      <c r="C10" s="237"/>
      <c r="D10" s="237"/>
      <c r="E10" s="237"/>
      <c r="F10" s="237"/>
      <c r="G10" s="237"/>
      <c r="H10" s="237"/>
      <c r="I10" s="237"/>
      <c r="J10" s="237"/>
      <c r="K10" s="21"/>
      <c r="L10" s="21"/>
      <c r="M10" s="21"/>
      <c r="N10" s="21"/>
      <c r="O10" s="21"/>
      <c r="P10" s="21"/>
      <c r="Q10" s="21"/>
      <c r="R10" s="21"/>
      <c r="S10" s="21"/>
      <c r="T10" s="21"/>
      <c r="U10" s="21"/>
      <c r="V10" s="21"/>
      <c r="W10" s="21"/>
      <c r="X10" s="21"/>
      <c r="Y10" s="21"/>
      <c r="Z10" s="21"/>
      <c r="AA10" s="21"/>
      <c r="AB10" s="21"/>
      <c r="AC10" s="21"/>
      <c r="AD10" s="21"/>
    </row>
    <row r="11" spans="2:30" x14ac:dyDescent="0.35">
      <c r="B11" s="340" t="s">
        <v>88</v>
      </c>
      <c r="C11" s="237"/>
      <c r="D11" s="237"/>
      <c r="E11" s="237"/>
      <c r="F11" s="237"/>
      <c r="G11" s="237"/>
      <c r="H11" s="237"/>
      <c r="I11" s="237"/>
      <c r="J11" s="237"/>
      <c r="K11" s="21"/>
      <c r="L11" s="21"/>
      <c r="M11" s="21"/>
      <c r="N11" s="21"/>
      <c r="O11" s="21"/>
      <c r="P11" s="21"/>
      <c r="Q11" s="21"/>
      <c r="R11" s="21"/>
      <c r="S11" s="21"/>
      <c r="T11" s="21"/>
      <c r="U11" s="21"/>
      <c r="V11" s="21"/>
      <c r="W11" s="21"/>
      <c r="X11" s="21"/>
      <c r="Y11" s="21"/>
      <c r="Z11" s="21"/>
      <c r="AA11" s="21"/>
      <c r="AB11" s="21"/>
      <c r="AC11" s="21"/>
      <c r="AD11" s="21"/>
    </row>
    <row r="12" spans="2:30" x14ac:dyDescent="0.35">
      <c r="B12" s="340" t="s">
        <v>89</v>
      </c>
      <c r="C12" s="237"/>
      <c r="D12" s="237"/>
      <c r="E12" s="237"/>
      <c r="F12" s="237"/>
      <c r="G12" s="237"/>
      <c r="H12" s="237"/>
      <c r="I12" s="237"/>
      <c r="J12" s="237"/>
      <c r="K12" s="21"/>
      <c r="L12" s="21"/>
      <c r="M12" s="21"/>
      <c r="N12" s="21"/>
      <c r="O12" s="21"/>
      <c r="P12" s="21"/>
      <c r="Q12" s="21"/>
      <c r="R12" s="21"/>
      <c r="S12" s="21"/>
      <c r="T12" s="21"/>
      <c r="U12" s="21"/>
      <c r="V12" s="21"/>
      <c r="W12" s="21"/>
      <c r="X12" s="21"/>
      <c r="Y12" s="21"/>
      <c r="Z12" s="21"/>
      <c r="AA12" s="21"/>
      <c r="AB12" s="21"/>
      <c r="AC12" s="21"/>
      <c r="AD12" s="21"/>
    </row>
    <row r="13" spans="2:30" x14ac:dyDescent="0.35">
      <c r="B13" s="341"/>
      <c r="C13" s="237"/>
      <c r="D13" s="237"/>
      <c r="E13" s="237"/>
      <c r="F13" s="237"/>
      <c r="G13" s="237"/>
      <c r="H13" s="237"/>
      <c r="I13" s="237"/>
      <c r="J13" s="237"/>
      <c r="K13" s="21"/>
      <c r="L13" s="21"/>
      <c r="M13" s="21"/>
      <c r="N13" s="21"/>
      <c r="O13" s="21"/>
      <c r="P13" s="21"/>
      <c r="Q13" s="21"/>
      <c r="R13" s="21"/>
      <c r="S13" s="21"/>
      <c r="T13" s="21"/>
      <c r="U13" s="21"/>
      <c r="V13" s="21"/>
      <c r="W13" s="21"/>
      <c r="X13" s="21"/>
      <c r="Y13" s="21"/>
      <c r="Z13" s="21"/>
      <c r="AA13" s="21"/>
      <c r="AB13" s="21"/>
      <c r="AC13" s="21"/>
      <c r="AD13" s="21"/>
    </row>
    <row r="14" spans="2:30" ht="16" thickBot="1" x14ac:dyDescent="0.4">
      <c r="B14" s="339" t="s">
        <v>985</v>
      </c>
      <c r="C14" s="237"/>
      <c r="D14" s="237"/>
      <c r="E14" s="237"/>
      <c r="F14" s="237"/>
      <c r="G14" s="237"/>
      <c r="H14" s="237"/>
      <c r="I14" s="237"/>
      <c r="J14" s="237"/>
      <c r="K14" s="21"/>
      <c r="L14" s="21"/>
      <c r="M14" s="21"/>
      <c r="N14" s="21"/>
      <c r="O14" s="21"/>
      <c r="P14" s="21"/>
      <c r="Q14" s="21"/>
      <c r="R14" s="21"/>
      <c r="S14" s="21"/>
      <c r="T14" s="21"/>
      <c r="U14" s="21"/>
      <c r="V14" s="21"/>
      <c r="W14" s="21"/>
      <c r="X14" s="21"/>
      <c r="Y14" s="21"/>
      <c r="Z14" s="21"/>
      <c r="AA14" s="21"/>
      <c r="AB14" s="21"/>
      <c r="AC14" s="21"/>
      <c r="AD14" s="21"/>
    </row>
    <row r="15" spans="2:30" ht="62.5" thickTop="1" x14ac:dyDescent="0.35">
      <c r="B15" s="342" t="s">
        <v>90</v>
      </c>
      <c r="C15" s="343" t="s">
        <v>91</v>
      </c>
      <c r="D15" s="344"/>
      <c r="E15" s="345" t="s">
        <v>92</v>
      </c>
      <c r="F15" s="345" t="s">
        <v>93</v>
      </c>
      <c r="G15" s="345" t="s">
        <v>95</v>
      </c>
      <c r="H15" s="346" t="s">
        <v>97</v>
      </c>
      <c r="I15" s="345" t="s">
        <v>98</v>
      </c>
      <c r="J15" s="347" t="s">
        <v>99</v>
      </c>
      <c r="K15" s="21"/>
      <c r="L15" s="21"/>
      <c r="M15" s="21"/>
      <c r="N15" s="21"/>
      <c r="O15" s="21"/>
      <c r="P15" s="21"/>
      <c r="Q15" s="21"/>
      <c r="R15" s="21"/>
      <c r="S15" s="21"/>
      <c r="T15" s="21"/>
      <c r="U15" s="21"/>
      <c r="V15" s="21"/>
      <c r="W15" s="21"/>
      <c r="X15" s="21"/>
      <c r="Y15" s="21"/>
      <c r="Z15" s="21"/>
      <c r="AA15" s="21"/>
      <c r="AB15" s="21"/>
      <c r="AC15" s="21"/>
      <c r="AD15" s="21"/>
    </row>
    <row r="16" spans="2:30" ht="18.5" x14ac:dyDescent="0.35">
      <c r="B16" s="348" t="s">
        <v>986</v>
      </c>
      <c r="C16" s="349"/>
      <c r="D16" s="350"/>
      <c r="E16" s="351" t="s">
        <v>987</v>
      </c>
      <c r="F16" s="351" t="s">
        <v>988</v>
      </c>
      <c r="G16" s="352" t="s">
        <v>989</v>
      </c>
      <c r="H16" s="351"/>
      <c r="I16" s="351" t="s">
        <v>990</v>
      </c>
      <c r="J16" s="353" t="s">
        <v>991</v>
      </c>
      <c r="K16" s="21"/>
      <c r="L16" s="21"/>
      <c r="M16" s="21"/>
      <c r="N16" s="21"/>
      <c r="O16" s="21"/>
      <c r="P16" s="21"/>
      <c r="Q16" s="21"/>
      <c r="R16" s="21"/>
      <c r="S16" s="21"/>
      <c r="T16" s="21"/>
      <c r="U16" s="21"/>
      <c r="V16" s="21"/>
      <c r="W16" s="21"/>
      <c r="X16" s="21"/>
      <c r="Y16" s="21"/>
      <c r="Z16" s="21"/>
      <c r="AA16" s="21"/>
      <c r="AB16" s="21"/>
      <c r="AC16" s="21"/>
      <c r="AD16" s="21"/>
    </row>
    <row r="17" spans="2:30" ht="35" thickBot="1" x14ac:dyDescent="0.45">
      <c r="B17" s="348"/>
      <c r="C17" s="354"/>
      <c r="D17" s="355"/>
      <c r="E17" s="351" t="s">
        <v>992</v>
      </c>
      <c r="F17" s="352" t="s">
        <v>989</v>
      </c>
      <c r="G17" s="352" t="s">
        <v>96</v>
      </c>
      <c r="H17" s="351"/>
      <c r="I17" s="352" t="s">
        <v>989</v>
      </c>
      <c r="J17" s="356" t="s">
        <v>993</v>
      </c>
      <c r="K17" s="21"/>
      <c r="L17" s="21"/>
      <c r="M17" s="21"/>
      <c r="N17" s="21"/>
      <c r="O17" s="21"/>
      <c r="P17" s="21"/>
      <c r="Q17" s="21"/>
      <c r="R17" s="21"/>
      <c r="S17" s="21"/>
      <c r="T17" s="21"/>
      <c r="U17" s="21"/>
      <c r="V17" s="21"/>
      <c r="W17" s="21"/>
      <c r="X17" s="21"/>
      <c r="Y17" s="21"/>
      <c r="Z17" s="21"/>
      <c r="AA17" s="21"/>
      <c r="AB17" s="21"/>
      <c r="AC17" s="21"/>
      <c r="AD17" s="21"/>
    </row>
    <row r="18" spans="2:30" ht="31.5" x14ac:dyDescent="0.4">
      <c r="B18" s="348"/>
      <c r="C18" s="357" t="s">
        <v>994</v>
      </c>
      <c r="D18" s="357" t="s">
        <v>995</v>
      </c>
      <c r="E18" s="351"/>
      <c r="F18" s="352" t="s">
        <v>94</v>
      </c>
      <c r="G18" s="352"/>
      <c r="H18" s="351"/>
      <c r="I18" s="352" t="s">
        <v>996</v>
      </c>
      <c r="J18" s="356"/>
      <c r="K18" s="21"/>
      <c r="L18" s="21"/>
      <c r="M18" s="21"/>
      <c r="N18" s="21"/>
      <c r="O18" s="21"/>
      <c r="P18" s="21"/>
      <c r="Q18" s="21"/>
      <c r="R18" s="21"/>
      <c r="S18" s="21"/>
      <c r="T18" s="21"/>
      <c r="U18" s="21"/>
      <c r="V18" s="21"/>
      <c r="W18" s="21"/>
      <c r="X18" s="21"/>
      <c r="Y18" s="21"/>
      <c r="Z18" s="21"/>
      <c r="AA18" s="21"/>
      <c r="AB18" s="21"/>
      <c r="AC18" s="21"/>
      <c r="AD18" s="21"/>
    </row>
    <row r="19" spans="2:30" ht="31.5" thickBot="1" x14ac:dyDescent="0.4">
      <c r="B19" s="358"/>
      <c r="C19" s="359" t="s">
        <v>100</v>
      </c>
      <c r="D19" s="359" t="s">
        <v>100</v>
      </c>
      <c r="E19" s="360"/>
      <c r="F19" s="359"/>
      <c r="G19" s="359"/>
      <c r="H19" s="360"/>
      <c r="I19" s="359"/>
      <c r="J19" s="361"/>
      <c r="K19" s="21"/>
      <c r="L19" s="21"/>
      <c r="M19" s="21"/>
      <c r="N19" s="21"/>
      <c r="O19" s="21"/>
      <c r="P19" s="21"/>
      <c r="Q19" s="21"/>
      <c r="R19" s="21"/>
      <c r="S19" s="21"/>
      <c r="T19" s="21"/>
      <c r="U19" s="21"/>
      <c r="V19" s="21"/>
      <c r="W19" s="21"/>
      <c r="X19" s="21"/>
      <c r="Y19" s="21"/>
      <c r="Z19" s="21"/>
      <c r="AA19" s="21"/>
      <c r="AB19" s="21"/>
      <c r="AC19" s="21"/>
      <c r="AD19" s="21"/>
    </row>
    <row r="20" spans="2:30" ht="16" thickBot="1" x14ac:dyDescent="0.4">
      <c r="B20" s="362" t="s">
        <v>101</v>
      </c>
      <c r="C20" s="363" t="s">
        <v>102</v>
      </c>
      <c r="D20" s="363" t="s">
        <v>103</v>
      </c>
      <c r="E20" s="363" t="s">
        <v>104</v>
      </c>
      <c r="F20" s="363" t="s">
        <v>105</v>
      </c>
      <c r="G20" s="363" t="s">
        <v>106</v>
      </c>
      <c r="H20" s="363" t="s">
        <v>107</v>
      </c>
      <c r="I20" s="363" t="s">
        <v>108</v>
      </c>
      <c r="J20" s="364" t="s">
        <v>109</v>
      </c>
      <c r="K20" s="21"/>
      <c r="L20" s="21"/>
      <c r="M20" s="21"/>
      <c r="N20" s="21"/>
      <c r="O20" s="21"/>
      <c r="P20" s="21"/>
      <c r="Q20" s="21"/>
      <c r="R20" s="21"/>
      <c r="S20" s="21"/>
      <c r="T20" s="21"/>
      <c r="U20" s="21"/>
      <c r="V20" s="21"/>
      <c r="W20" s="21"/>
      <c r="X20" s="21"/>
      <c r="Y20" s="21"/>
      <c r="Z20" s="21"/>
      <c r="AA20" s="21"/>
      <c r="AB20" s="21"/>
      <c r="AC20" s="21"/>
      <c r="AD20" s="21"/>
    </row>
    <row r="21" spans="2:30" ht="16" thickBot="1" x14ac:dyDescent="0.4">
      <c r="B21" s="362" t="s">
        <v>110</v>
      </c>
      <c r="C21" s="363" t="s">
        <v>111</v>
      </c>
      <c r="D21" s="363" t="s">
        <v>112</v>
      </c>
      <c r="E21" s="363" t="s">
        <v>104</v>
      </c>
      <c r="F21" s="363" t="s">
        <v>113</v>
      </c>
      <c r="G21" s="363" t="s">
        <v>114</v>
      </c>
      <c r="H21" s="363" t="s">
        <v>115</v>
      </c>
      <c r="I21" s="363" t="s">
        <v>116</v>
      </c>
      <c r="J21" s="364" t="s">
        <v>117</v>
      </c>
      <c r="K21" s="21"/>
      <c r="L21" s="21"/>
      <c r="M21" s="21"/>
      <c r="N21" s="21"/>
      <c r="O21" s="21"/>
      <c r="P21" s="21"/>
      <c r="Q21" s="21"/>
      <c r="R21" s="21"/>
      <c r="S21" s="21"/>
      <c r="T21" s="21"/>
      <c r="U21" s="21"/>
      <c r="V21" s="21"/>
      <c r="W21" s="21"/>
      <c r="X21" s="21"/>
      <c r="Y21" s="21"/>
      <c r="Z21" s="21"/>
      <c r="AA21" s="21"/>
      <c r="AB21" s="21"/>
      <c r="AC21" s="21"/>
      <c r="AD21" s="21"/>
    </row>
    <row r="22" spans="2:30" ht="16" thickBot="1" x14ac:dyDescent="0.4">
      <c r="B22" s="362" t="s">
        <v>118</v>
      </c>
      <c r="C22" s="363" t="s">
        <v>119</v>
      </c>
      <c r="D22" s="363" t="s">
        <v>120</v>
      </c>
      <c r="E22" s="363" t="s">
        <v>104</v>
      </c>
      <c r="F22" s="363" t="s">
        <v>121</v>
      </c>
      <c r="G22" s="363" t="s">
        <v>122</v>
      </c>
      <c r="H22" s="363" t="s">
        <v>123</v>
      </c>
      <c r="I22" s="363" t="s">
        <v>124</v>
      </c>
      <c r="J22" s="364" t="s">
        <v>125</v>
      </c>
      <c r="K22" s="21"/>
      <c r="L22" s="21"/>
      <c r="M22" s="21"/>
      <c r="N22" s="21"/>
      <c r="O22" s="21"/>
      <c r="P22" s="21"/>
      <c r="Q22" s="21"/>
      <c r="R22" s="21"/>
      <c r="S22" s="21"/>
      <c r="T22" s="21"/>
      <c r="U22" s="21"/>
      <c r="V22" s="21"/>
      <c r="W22" s="21"/>
      <c r="X22" s="21"/>
      <c r="Y22" s="21"/>
      <c r="Z22" s="21"/>
      <c r="AA22" s="21"/>
      <c r="AB22" s="21"/>
      <c r="AC22" s="21"/>
      <c r="AD22" s="21"/>
    </row>
    <row r="23" spans="2:30" ht="16" thickBot="1" x14ac:dyDescent="0.4">
      <c r="B23" s="362" t="s">
        <v>126</v>
      </c>
      <c r="C23" s="363" t="s">
        <v>127</v>
      </c>
      <c r="D23" s="363" t="s">
        <v>128</v>
      </c>
      <c r="E23" s="363" t="s">
        <v>104</v>
      </c>
      <c r="F23" s="363" t="s">
        <v>129</v>
      </c>
      <c r="G23" s="363" t="s">
        <v>130</v>
      </c>
      <c r="H23" s="363" t="s">
        <v>131</v>
      </c>
      <c r="I23" s="363" t="s">
        <v>132</v>
      </c>
      <c r="J23" s="364" t="s">
        <v>133</v>
      </c>
      <c r="K23" s="21"/>
      <c r="L23" s="21"/>
      <c r="M23" s="21"/>
      <c r="N23" s="21"/>
      <c r="O23" s="21"/>
      <c r="P23" s="21"/>
      <c r="Q23" s="21"/>
      <c r="R23" s="21"/>
      <c r="S23" s="21"/>
      <c r="T23" s="21"/>
      <c r="U23" s="21"/>
      <c r="V23" s="21"/>
      <c r="W23" s="21"/>
      <c r="X23" s="21"/>
      <c r="Y23" s="21"/>
      <c r="Z23" s="21"/>
      <c r="AA23" s="21"/>
      <c r="AB23" s="21"/>
      <c r="AC23" s="21"/>
      <c r="AD23" s="21"/>
    </row>
    <row r="24" spans="2:30" ht="16" thickBot="1" x14ac:dyDescent="0.4">
      <c r="B24" s="362" t="s">
        <v>134</v>
      </c>
      <c r="C24" s="363" t="s">
        <v>135</v>
      </c>
      <c r="D24" s="363" t="s">
        <v>136</v>
      </c>
      <c r="E24" s="363" t="s">
        <v>104</v>
      </c>
      <c r="F24" s="363" t="s">
        <v>137</v>
      </c>
      <c r="G24" s="363" t="s">
        <v>138</v>
      </c>
      <c r="H24" s="363" t="s">
        <v>139</v>
      </c>
      <c r="I24" s="363" t="s">
        <v>140</v>
      </c>
      <c r="J24" s="364" t="s">
        <v>141</v>
      </c>
      <c r="K24" s="21"/>
      <c r="L24" s="21"/>
      <c r="M24" s="21"/>
      <c r="N24" s="21"/>
      <c r="O24" s="21"/>
      <c r="P24" s="21"/>
      <c r="Q24" s="21"/>
      <c r="R24" s="21"/>
      <c r="S24" s="21"/>
      <c r="T24" s="21"/>
      <c r="U24" s="21"/>
      <c r="V24" s="21"/>
      <c r="W24" s="21"/>
      <c r="X24" s="21"/>
      <c r="Y24" s="21"/>
      <c r="Z24" s="21"/>
      <c r="AA24" s="21"/>
      <c r="AB24" s="21"/>
      <c r="AC24" s="21"/>
      <c r="AD24" s="21"/>
    </row>
    <row r="25" spans="2:30" ht="16" thickBot="1" x14ac:dyDescent="0.4">
      <c r="B25" s="362" t="s">
        <v>142</v>
      </c>
      <c r="C25" s="363" t="s">
        <v>143</v>
      </c>
      <c r="D25" s="363" t="s">
        <v>144</v>
      </c>
      <c r="E25" s="363" t="s">
        <v>145</v>
      </c>
      <c r="F25" s="363" t="s">
        <v>146</v>
      </c>
      <c r="G25" s="363" t="s">
        <v>147</v>
      </c>
      <c r="H25" s="363" t="s">
        <v>148</v>
      </c>
      <c r="I25" s="363" t="s">
        <v>149</v>
      </c>
      <c r="J25" s="364" t="s">
        <v>150</v>
      </c>
      <c r="K25" s="21"/>
      <c r="L25" s="21"/>
      <c r="M25" s="21"/>
      <c r="N25" s="21"/>
      <c r="O25" s="21"/>
      <c r="P25" s="21"/>
      <c r="Q25" s="21"/>
      <c r="R25" s="21"/>
      <c r="S25" s="21"/>
      <c r="T25" s="21"/>
      <c r="U25" s="21"/>
      <c r="V25" s="21"/>
      <c r="W25" s="21"/>
      <c r="X25" s="21"/>
      <c r="Y25" s="21"/>
      <c r="Z25" s="21"/>
      <c r="AA25" s="21"/>
      <c r="AB25" s="21"/>
      <c r="AC25" s="21"/>
      <c r="AD25" s="21"/>
    </row>
    <row r="26" spans="2:30" ht="16" thickBot="1" x14ac:dyDescent="0.4">
      <c r="B26" s="362" t="s">
        <v>151</v>
      </c>
      <c r="C26" s="363" t="s">
        <v>152</v>
      </c>
      <c r="D26" s="363" t="s">
        <v>153</v>
      </c>
      <c r="E26" s="363" t="s">
        <v>145</v>
      </c>
      <c r="F26" s="363" t="s">
        <v>154</v>
      </c>
      <c r="G26" s="363" t="s">
        <v>155</v>
      </c>
      <c r="H26" s="363" t="s">
        <v>156</v>
      </c>
      <c r="I26" s="363" t="s">
        <v>157</v>
      </c>
      <c r="J26" s="364" t="s">
        <v>158</v>
      </c>
      <c r="K26" s="21"/>
      <c r="L26" s="21"/>
      <c r="M26" s="21"/>
      <c r="N26" s="21"/>
      <c r="O26" s="21"/>
      <c r="P26" s="21"/>
      <c r="Q26" s="21"/>
      <c r="R26" s="21"/>
      <c r="S26" s="21"/>
      <c r="T26" s="21"/>
      <c r="U26" s="21"/>
      <c r="V26" s="21"/>
      <c r="W26" s="21"/>
      <c r="X26" s="21"/>
      <c r="Y26" s="21"/>
      <c r="Z26" s="21"/>
      <c r="AA26" s="21"/>
      <c r="AB26" s="21"/>
      <c r="AC26" s="21"/>
      <c r="AD26" s="21"/>
    </row>
    <row r="27" spans="2:30" ht="16" thickBot="1" x14ac:dyDescent="0.4">
      <c r="B27" s="362" t="s">
        <v>159</v>
      </c>
      <c r="C27" s="363" t="s">
        <v>160</v>
      </c>
      <c r="D27" s="363" t="s">
        <v>161</v>
      </c>
      <c r="E27" s="363" t="s">
        <v>162</v>
      </c>
      <c r="F27" s="363" t="s">
        <v>163</v>
      </c>
      <c r="G27" s="363" t="s">
        <v>164</v>
      </c>
      <c r="H27" s="363" t="s">
        <v>165</v>
      </c>
      <c r="I27" s="363" t="s">
        <v>166</v>
      </c>
      <c r="J27" s="364" t="s">
        <v>167</v>
      </c>
      <c r="K27" s="21"/>
      <c r="L27" s="21"/>
      <c r="M27" s="21"/>
      <c r="N27" s="21"/>
      <c r="O27" s="21"/>
      <c r="P27" s="21"/>
      <c r="Q27" s="21"/>
      <c r="R27" s="21"/>
      <c r="S27" s="21"/>
      <c r="T27" s="21"/>
      <c r="U27" s="21"/>
      <c r="V27" s="21"/>
      <c r="W27" s="21"/>
      <c r="X27" s="21"/>
      <c r="Y27" s="21"/>
      <c r="Z27" s="21"/>
      <c r="AA27" s="21"/>
      <c r="AB27" s="21"/>
      <c r="AC27" s="21"/>
      <c r="AD27" s="21"/>
    </row>
    <row r="28" spans="2:30" ht="16" thickBot="1" x14ac:dyDescent="0.4">
      <c r="B28" s="362" t="s">
        <v>168</v>
      </c>
      <c r="C28" s="363" t="s">
        <v>169</v>
      </c>
      <c r="D28" s="363" t="s">
        <v>170</v>
      </c>
      <c r="E28" s="363" t="s">
        <v>171</v>
      </c>
      <c r="F28" s="363" t="s">
        <v>172</v>
      </c>
      <c r="G28" s="363" t="s">
        <v>173</v>
      </c>
      <c r="H28" s="363" t="s">
        <v>174</v>
      </c>
      <c r="I28" s="363" t="s">
        <v>175</v>
      </c>
      <c r="J28" s="364" t="s">
        <v>176</v>
      </c>
      <c r="K28" s="21"/>
      <c r="L28" s="21"/>
      <c r="M28" s="21"/>
      <c r="N28" s="21"/>
      <c r="O28" s="21"/>
      <c r="P28" s="21"/>
      <c r="Q28" s="21"/>
      <c r="R28" s="21"/>
      <c r="S28" s="21"/>
      <c r="T28" s="21"/>
      <c r="U28" s="21"/>
      <c r="V28" s="21"/>
      <c r="W28" s="21"/>
      <c r="X28" s="21"/>
      <c r="Y28" s="21"/>
      <c r="Z28" s="21"/>
      <c r="AA28" s="21"/>
      <c r="AB28" s="21"/>
      <c r="AC28" s="21"/>
      <c r="AD28" s="21"/>
    </row>
    <row r="29" spans="2:30" ht="16" thickBot="1" x14ac:dyDescent="0.4">
      <c r="B29" s="362" t="s">
        <v>177</v>
      </c>
      <c r="C29" s="363" t="s">
        <v>178</v>
      </c>
      <c r="D29" s="363" t="s">
        <v>179</v>
      </c>
      <c r="E29" s="363" t="s">
        <v>180</v>
      </c>
      <c r="F29" s="363" t="s">
        <v>181</v>
      </c>
      <c r="G29" s="363" t="s">
        <v>182</v>
      </c>
      <c r="H29" s="363" t="s">
        <v>183</v>
      </c>
      <c r="I29" s="363" t="s">
        <v>184</v>
      </c>
      <c r="J29" s="364" t="s">
        <v>185</v>
      </c>
      <c r="K29" s="21"/>
      <c r="L29" s="21"/>
      <c r="M29" s="21"/>
      <c r="N29" s="21"/>
      <c r="O29" s="21"/>
      <c r="P29" s="21"/>
      <c r="Q29" s="21"/>
      <c r="R29" s="21"/>
      <c r="S29" s="21"/>
      <c r="T29" s="21"/>
      <c r="U29" s="21"/>
      <c r="V29" s="21"/>
      <c r="W29" s="21"/>
      <c r="X29" s="21"/>
      <c r="Y29" s="21"/>
      <c r="Z29" s="21"/>
      <c r="AA29" s="21"/>
      <c r="AB29" s="21"/>
      <c r="AC29" s="21"/>
      <c r="AD29" s="21"/>
    </row>
    <row r="30" spans="2:30" ht="16" thickBot="1" x14ac:dyDescent="0.4">
      <c r="B30" s="362" t="s">
        <v>186</v>
      </c>
      <c r="C30" s="363" t="s">
        <v>187</v>
      </c>
      <c r="D30" s="363" t="s">
        <v>188</v>
      </c>
      <c r="E30" s="363" t="s">
        <v>189</v>
      </c>
      <c r="F30" s="363" t="s">
        <v>190</v>
      </c>
      <c r="G30" s="363" t="s">
        <v>191</v>
      </c>
      <c r="H30" s="363" t="s">
        <v>192</v>
      </c>
      <c r="I30" s="363" t="s">
        <v>193</v>
      </c>
      <c r="J30" s="364" t="s">
        <v>194</v>
      </c>
      <c r="K30" s="21"/>
      <c r="L30" s="21"/>
      <c r="M30" s="21"/>
      <c r="N30" s="21"/>
      <c r="O30" s="21"/>
      <c r="P30" s="21"/>
      <c r="Q30" s="21"/>
      <c r="R30" s="21"/>
      <c r="S30" s="21"/>
      <c r="T30" s="21"/>
      <c r="U30" s="21"/>
      <c r="V30" s="21"/>
      <c r="W30" s="21"/>
      <c r="X30" s="21"/>
      <c r="Y30" s="21"/>
      <c r="Z30" s="21"/>
      <c r="AA30" s="21"/>
      <c r="AB30" s="21"/>
      <c r="AC30" s="21"/>
      <c r="AD30" s="21"/>
    </row>
    <row r="31" spans="2:30" ht="16" thickBot="1" x14ac:dyDescent="0.4">
      <c r="B31" s="362" t="s">
        <v>195</v>
      </c>
      <c r="C31" s="363" t="s">
        <v>196</v>
      </c>
      <c r="D31" s="363" t="s">
        <v>197</v>
      </c>
      <c r="E31" s="363" t="s">
        <v>198</v>
      </c>
      <c r="F31" s="363" t="s">
        <v>199</v>
      </c>
      <c r="G31" s="363" t="s">
        <v>200</v>
      </c>
      <c r="H31" s="363" t="s">
        <v>201</v>
      </c>
      <c r="I31" s="363" t="s">
        <v>202</v>
      </c>
      <c r="J31" s="364" t="s">
        <v>203</v>
      </c>
      <c r="K31" s="21"/>
      <c r="L31" s="21"/>
      <c r="M31" s="21"/>
      <c r="N31" s="21"/>
      <c r="O31" s="21"/>
      <c r="P31" s="21"/>
      <c r="Q31" s="21"/>
      <c r="R31" s="21"/>
      <c r="S31" s="21"/>
      <c r="T31" s="21"/>
      <c r="U31" s="21"/>
      <c r="V31" s="21"/>
      <c r="W31" s="21"/>
      <c r="X31" s="21"/>
      <c r="Y31" s="21"/>
      <c r="Z31" s="21"/>
      <c r="AA31" s="21"/>
      <c r="AB31" s="21"/>
      <c r="AC31" s="21"/>
      <c r="AD31" s="21"/>
    </row>
    <row r="32" spans="2:30" ht="16" thickBot="1" x14ac:dyDescent="0.4">
      <c r="B32" s="362" t="s">
        <v>204</v>
      </c>
      <c r="C32" s="363" t="s">
        <v>205</v>
      </c>
      <c r="D32" s="363" t="s">
        <v>206</v>
      </c>
      <c r="E32" s="363" t="s">
        <v>207</v>
      </c>
      <c r="F32" s="363" t="s">
        <v>208</v>
      </c>
      <c r="G32" s="363" t="s">
        <v>209</v>
      </c>
      <c r="H32" s="363" t="s">
        <v>201</v>
      </c>
      <c r="I32" s="363" t="s">
        <v>210</v>
      </c>
      <c r="J32" s="364" t="s">
        <v>211</v>
      </c>
      <c r="K32" s="21"/>
      <c r="L32" s="21"/>
      <c r="M32" s="21"/>
      <c r="N32" s="21"/>
      <c r="O32" s="21"/>
      <c r="P32" s="21"/>
      <c r="Q32" s="21"/>
      <c r="R32" s="21"/>
      <c r="S32" s="21"/>
      <c r="T32" s="21"/>
      <c r="U32" s="21"/>
      <c r="V32" s="21"/>
      <c r="W32" s="21"/>
      <c r="X32" s="21"/>
      <c r="Y32" s="21"/>
      <c r="Z32" s="21"/>
      <c r="AA32" s="21"/>
      <c r="AB32" s="21"/>
      <c r="AC32" s="21"/>
      <c r="AD32" s="21"/>
    </row>
    <row r="33" spans="2:30" ht="16" thickBot="1" x14ac:dyDescent="0.4">
      <c r="B33" s="362" t="s">
        <v>212</v>
      </c>
      <c r="C33" s="363" t="s">
        <v>213</v>
      </c>
      <c r="D33" s="363" t="s">
        <v>214</v>
      </c>
      <c r="E33" s="363" t="s">
        <v>215</v>
      </c>
      <c r="F33" s="363" t="s">
        <v>216</v>
      </c>
      <c r="G33" s="363" t="s">
        <v>217</v>
      </c>
      <c r="H33" s="363" t="s">
        <v>201</v>
      </c>
      <c r="I33" s="363" t="s">
        <v>218</v>
      </c>
      <c r="J33" s="364" t="s">
        <v>219</v>
      </c>
      <c r="K33" s="21"/>
      <c r="L33" s="21"/>
      <c r="M33" s="21"/>
      <c r="N33" s="21"/>
      <c r="O33" s="21"/>
      <c r="P33" s="21"/>
      <c r="Q33" s="21"/>
      <c r="R33" s="21"/>
      <c r="S33" s="21"/>
      <c r="T33" s="21"/>
      <c r="U33" s="21"/>
      <c r="V33" s="21"/>
      <c r="W33" s="21"/>
      <c r="X33" s="21"/>
      <c r="Y33" s="21"/>
      <c r="Z33" s="21"/>
      <c r="AA33" s="21"/>
      <c r="AB33" s="21"/>
      <c r="AC33" s="21"/>
      <c r="AD33" s="21"/>
    </row>
    <row r="34" spans="2:30" ht="16" thickBot="1" x14ac:dyDescent="0.4">
      <c r="B34" s="362" t="s">
        <v>220</v>
      </c>
      <c r="C34" s="363" t="s">
        <v>221</v>
      </c>
      <c r="D34" s="363" t="s">
        <v>222</v>
      </c>
      <c r="E34" s="363" t="s">
        <v>223</v>
      </c>
      <c r="F34" s="363" t="s">
        <v>224</v>
      </c>
      <c r="G34" s="363" t="s">
        <v>225</v>
      </c>
      <c r="H34" s="363" t="s">
        <v>226</v>
      </c>
      <c r="I34" s="363" t="s">
        <v>227</v>
      </c>
      <c r="J34" s="364" t="s">
        <v>228</v>
      </c>
      <c r="K34" s="21"/>
      <c r="L34" s="21"/>
      <c r="M34" s="21"/>
      <c r="N34" s="21"/>
      <c r="O34" s="21"/>
      <c r="P34" s="21"/>
      <c r="Q34" s="21"/>
      <c r="R34" s="21"/>
      <c r="S34" s="21"/>
      <c r="T34" s="21"/>
      <c r="U34" s="21"/>
      <c r="V34" s="21"/>
      <c r="W34" s="21"/>
      <c r="X34" s="21"/>
      <c r="Y34" s="21"/>
      <c r="Z34" s="21"/>
      <c r="AA34" s="21"/>
      <c r="AB34" s="21"/>
      <c r="AC34" s="21"/>
      <c r="AD34" s="21"/>
    </row>
    <row r="35" spans="2:30" ht="16" thickBot="1" x14ac:dyDescent="0.4">
      <c r="B35" s="362" t="s">
        <v>229</v>
      </c>
      <c r="C35" s="363" t="s">
        <v>230</v>
      </c>
      <c r="D35" s="363" t="s">
        <v>231</v>
      </c>
      <c r="E35" s="363" t="s">
        <v>232</v>
      </c>
      <c r="F35" s="363" t="s">
        <v>233</v>
      </c>
      <c r="G35" s="363" t="s">
        <v>234</v>
      </c>
      <c r="H35" s="363" t="s">
        <v>192</v>
      </c>
      <c r="I35" s="363" t="s">
        <v>235</v>
      </c>
      <c r="J35" s="364" t="s">
        <v>236</v>
      </c>
      <c r="K35" s="21"/>
      <c r="L35" s="21"/>
      <c r="M35" s="21"/>
      <c r="N35" s="21"/>
      <c r="O35" s="21"/>
      <c r="P35" s="21"/>
      <c r="Q35" s="21"/>
      <c r="R35" s="21"/>
      <c r="S35" s="21"/>
      <c r="T35" s="21"/>
      <c r="U35" s="21"/>
      <c r="V35" s="21"/>
      <c r="W35" s="21"/>
      <c r="X35" s="21"/>
      <c r="Y35" s="21"/>
      <c r="Z35" s="21"/>
      <c r="AA35" s="21"/>
      <c r="AB35" s="21"/>
      <c r="AC35" s="21"/>
      <c r="AD35" s="21"/>
    </row>
    <row r="36" spans="2:30" ht="16" thickBot="1" x14ac:dyDescent="0.4">
      <c r="B36" s="362" t="s">
        <v>237</v>
      </c>
      <c r="C36" s="363" t="s">
        <v>238</v>
      </c>
      <c r="D36" s="363" t="s">
        <v>239</v>
      </c>
      <c r="E36" s="363" t="s">
        <v>240</v>
      </c>
      <c r="F36" s="363" t="s">
        <v>241</v>
      </c>
      <c r="G36" s="363" t="s">
        <v>242</v>
      </c>
      <c r="H36" s="363" t="s">
        <v>243</v>
      </c>
      <c r="I36" s="363" t="s">
        <v>244</v>
      </c>
      <c r="J36" s="364" t="s">
        <v>245</v>
      </c>
      <c r="K36" s="21"/>
      <c r="L36" s="21"/>
      <c r="M36" s="21"/>
      <c r="N36" s="21"/>
      <c r="O36" s="21"/>
      <c r="P36" s="21"/>
      <c r="Q36" s="21"/>
      <c r="R36" s="21"/>
      <c r="S36" s="21"/>
      <c r="T36" s="21"/>
      <c r="U36" s="21"/>
      <c r="V36" s="21"/>
      <c r="W36" s="21"/>
      <c r="X36" s="21"/>
      <c r="Y36" s="21"/>
      <c r="Z36" s="21"/>
      <c r="AA36" s="21"/>
      <c r="AB36" s="21"/>
      <c r="AC36" s="21"/>
      <c r="AD36" s="21"/>
    </row>
    <row r="37" spans="2:30" ht="16" thickBot="1" x14ac:dyDescent="0.4">
      <c r="B37" s="362" t="s">
        <v>246</v>
      </c>
      <c r="C37" s="363" t="s">
        <v>247</v>
      </c>
      <c r="D37" s="363" t="s">
        <v>248</v>
      </c>
      <c r="E37" s="363" t="s">
        <v>249</v>
      </c>
      <c r="F37" s="363" t="s">
        <v>250</v>
      </c>
      <c r="G37" s="363" t="s">
        <v>251</v>
      </c>
      <c r="H37" s="363" t="s">
        <v>252</v>
      </c>
      <c r="I37" s="363" t="s">
        <v>253</v>
      </c>
      <c r="J37" s="364" t="s">
        <v>254</v>
      </c>
      <c r="K37" s="21"/>
      <c r="L37" s="21"/>
      <c r="M37" s="21"/>
      <c r="N37" s="21"/>
      <c r="O37" s="21"/>
      <c r="P37" s="21"/>
      <c r="Q37" s="21"/>
      <c r="R37" s="21"/>
      <c r="S37" s="21"/>
      <c r="T37" s="21"/>
      <c r="U37" s="21"/>
      <c r="V37" s="21"/>
      <c r="W37" s="21"/>
      <c r="X37" s="21"/>
      <c r="Y37" s="21"/>
      <c r="Z37" s="21"/>
      <c r="AA37" s="21"/>
      <c r="AB37" s="21"/>
      <c r="AC37" s="21"/>
      <c r="AD37" s="21"/>
    </row>
    <row r="38" spans="2:30" ht="16" thickBot="1" x14ac:dyDescent="0.4">
      <c r="B38" s="362" t="s">
        <v>255</v>
      </c>
      <c r="C38" s="363" t="s">
        <v>256</v>
      </c>
      <c r="D38" s="363" t="s">
        <v>257</v>
      </c>
      <c r="E38" s="363" t="s">
        <v>258</v>
      </c>
      <c r="F38" s="363" t="s">
        <v>259</v>
      </c>
      <c r="G38" s="363" t="s">
        <v>260</v>
      </c>
      <c r="H38" s="363" t="s">
        <v>261</v>
      </c>
      <c r="I38" s="363" t="s">
        <v>262</v>
      </c>
      <c r="J38" s="364" t="s">
        <v>263</v>
      </c>
      <c r="K38" s="21"/>
      <c r="L38" s="21"/>
      <c r="M38" s="21"/>
      <c r="N38" s="21"/>
      <c r="O38" s="21"/>
      <c r="P38" s="21"/>
      <c r="Q38" s="21"/>
      <c r="R38" s="21"/>
      <c r="S38" s="21"/>
      <c r="T38" s="21"/>
      <c r="U38" s="21"/>
      <c r="V38" s="21"/>
      <c r="W38" s="21"/>
      <c r="X38" s="21"/>
      <c r="Y38" s="21"/>
      <c r="Z38" s="21"/>
      <c r="AA38" s="21"/>
      <c r="AB38" s="21"/>
      <c r="AC38" s="21"/>
      <c r="AD38" s="21"/>
    </row>
    <row r="39" spans="2:30" ht="16" thickBot="1" x14ac:dyDescent="0.4">
      <c r="B39" s="362" t="s">
        <v>264</v>
      </c>
      <c r="C39" s="363" t="s">
        <v>265</v>
      </c>
      <c r="D39" s="363" t="s">
        <v>266</v>
      </c>
      <c r="E39" s="363" t="s">
        <v>267</v>
      </c>
      <c r="F39" s="363" t="s">
        <v>268</v>
      </c>
      <c r="G39" s="363" t="s">
        <v>269</v>
      </c>
      <c r="H39" s="363" t="s">
        <v>270</v>
      </c>
      <c r="I39" s="363" t="s">
        <v>271</v>
      </c>
      <c r="J39" s="364" t="s">
        <v>272</v>
      </c>
      <c r="K39" s="21"/>
      <c r="L39" s="21"/>
      <c r="M39" s="21"/>
      <c r="N39" s="21"/>
      <c r="O39" s="21"/>
      <c r="P39" s="21"/>
      <c r="Q39" s="21"/>
      <c r="R39" s="21"/>
      <c r="S39" s="21"/>
      <c r="T39" s="21"/>
      <c r="U39" s="21"/>
      <c r="V39" s="21"/>
      <c r="W39" s="21"/>
      <c r="X39" s="21"/>
      <c r="Y39" s="21"/>
      <c r="Z39" s="21"/>
      <c r="AA39" s="21"/>
      <c r="AB39" s="21"/>
      <c r="AC39" s="21"/>
      <c r="AD39" s="21"/>
    </row>
    <row r="40" spans="2:30" ht="16" thickBot="1" x14ac:dyDescent="0.4">
      <c r="B40" s="362" t="s">
        <v>273</v>
      </c>
      <c r="C40" s="363" t="s">
        <v>274</v>
      </c>
      <c r="D40" s="363" t="s">
        <v>275</v>
      </c>
      <c r="E40" s="363" t="s">
        <v>276</v>
      </c>
      <c r="F40" s="363" t="s">
        <v>277</v>
      </c>
      <c r="G40" s="363" t="s">
        <v>278</v>
      </c>
      <c r="H40" s="363" t="s">
        <v>279</v>
      </c>
      <c r="I40" s="363" t="s">
        <v>280</v>
      </c>
      <c r="J40" s="364" t="s">
        <v>281</v>
      </c>
      <c r="K40" s="21"/>
      <c r="L40" s="21"/>
      <c r="M40" s="21"/>
      <c r="N40" s="21"/>
      <c r="O40" s="21"/>
      <c r="P40" s="21"/>
      <c r="Q40" s="21"/>
      <c r="R40" s="21"/>
      <c r="S40" s="21"/>
      <c r="T40" s="21"/>
      <c r="U40" s="21"/>
      <c r="V40" s="21"/>
      <c r="W40" s="21"/>
      <c r="X40" s="21"/>
      <c r="Y40" s="21"/>
      <c r="Z40" s="21"/>
      <c r="AA40" s="21"/>
      <c r="AB40" s="21"/>
      <c r="AC40" s="21"/>
      <c r="AD40" s="21"/>
    </row>
    <row r="41" spans="2:30" ht="16" thickBot="1" x14ac:dyDescent="0.4">
      <c r="B41" s="362" t="s">
        <v>282</v>
      </c>
      <c r="C41" s="363" t="s">
        <v>283</v>
      </c>
      <c r="D41" s="363" t="s">
        <v>284</v>
      </c>
      <c r="E41" s="363" t="s">
        <v>285</v>
      </c>
      <c r="F41" s="363" t="s">
        <v>286</v>
      </c>
      <c r="G41" s="363" t="s">
        <v>287</v>
      </c>
      <c r="H41" s="363" t="s">
        <v>288</v>
      </c>
      <c r="I41" s="363" t="s">
        <v>289</v>
      </c>
      <c r="J41" s="364" t="s">
        <v>290</v>
      </c>
      <c r="K41" s="21"/>
      <c r="L41" s="21"/>
      <c r="M41" s="21"/>
      <c r="N41" s="21"/>
      <c r="O41" s="21"/>
      <c r="P41" s="21"/>
      <c r="Q41" s="21"/>
      <c r="R41" s="21"/>
      <c r="S41" s="21"/>
      <c r="T41" s="21"/>
      <c r="U41" s="21"/>
      <c r="V41" s="21"/>
      <c r="W41" s="21"/>
      <c r="X41" s="21"/>
      <c r="Y41" s="21"/>
      <c r="Z41" s="21"/>
      <c r="AA41" s="21"/>
      <c r="AB41" s="21"/>
      <c r="AC41" s="21"/>
      <c r="AD41" s="21"/>
    </row>
    <row r="42" spans="2:30" ht="16" thickBot="1" x14ac:dyDescent="0.4">
      <c r="B42" s="362" t="s">
        <v>291</v>
      </c>
      <c r="C42" s="363" t="s">
        <v>292</v>
      </c>
      <c r="D42" s="363" t="s">
        <v>293</v>
      </c>
      <c r="E42" s="363" t="s">
        <v>294</v>
      </c>
      <c r="F42" s="363" t="s">
        <v>295</v>
      </c>
      <c r="G42" s="363" t="s">
        <v>296</v>
      </c>
      <c r="H42" s="363" t="s">
        <v>297</v>
      </c>
      <c r="I42" s="363" t="s">
        <v>298</v>
      </c>
      <c r="J42" s="364" t="s">
        <v>299</v>
      </c>
      <c r="K42" s="21"/>
      <c r="L42" s="21"/>
      <c r="M42" s="21"/>
      <c r="N42" s="21"/>
      <c r="O42" s="21"/>
      <c r="P42" s="21"/>
      <c r="Q42" s="21"/>
      <c r="R42" s="21"/>
      <c r="S42" s="21"/>
      <c r="T42" s="21"/>
      <c r="U42" s="21"/>
      <c r="V42" s="21"/>
      <c r="W42" s="21"/>
      <c r="X42" s="21"/>
      <c r="Y42" s="21"/>
      <c r="Z42" s="21"/>
      <c r="AA42" s="21"/>
      <c r="AB42" s="21"/>
      <c r="AC42" s="21"/>
      <c r="AD42" s="21"/>
    </row>
    <row r="43" spans="2:30" ht="16" thickBot="1" x14ac:dyDescent="0.4">
      <c r="B43" s="362" t="s">
        <v>300</v>
      </c>
      <c r="C43" s="363" t="s">
        <v>301</v>
      </c>
      <c r="D43" s="363" t="s">
        <v>302</v>
      </c>
      <c r="E43" s="363" t="s">
        <v>113</v>
      </c>
      <c r="F43" s="363" t="s">
        <v>303</v>
      </c>
      <c r="G43" s="363" t="s">
        <v>304</v>
      </c>
      <c r="H43" s="363" t="s">
        <v>148</v>
      </c>
      <c r="I43" s="363" t="s">
        <v>305</v>
      </c>
      <c r="J43" s="364" t="s">
        <v>306</v>
      </c>
      <c r="K43" s="21"/>
      <c r="L43" s="21"/>
      <c r="M43" s="21"/>
      <c r="N43" s="21"/>
      <c r="O43" s="21"/>
      <c r="P43" s="21"/>
      <c r="Q43" s="21"/>
      <c r="R43" s="21"/>
      <c r="S43" s="21"/>
      <c r="T43" s="21"/>
      <c r="U43" s="21"/>
      <c r="V43" s="21"/>
      <c r="W43" s="21"/>
      <c r="X43" s="21"/>
      <c r="Y43" s="21"/>
      <c r="Z43" s="21"/>
      <c r="AA43" s="21"/>
      <c r="AB43" s="21"/>
      <c r="AC43" s="21"/>
      <c r="AD43" s="21"/>
    </row>
    <row r="44" spans="2:30" ht="16" thickBot="1" x14ac:dyDescent="0.4">
      <c r="B44" s="362" t="s">
        <v>307</v>
      </c>
      <c r="C44" s="363" t="s">
        <v>308</v>
      </c>
      <c r="D44" s="363" t="s">
        <v>309</v>
      </c>
      <c r="E44" s="363" t="s">
        <v>310</v>
      </c>
      <c r="F44" s="363" t="s">
        <v>311</v>
      </c>
      <c r="G44" s="363" t="s">
        <v>312</v>
      </c>
      <c r="H44" s="363" t="s">
        <v>313</v>
      </c>
      <c r="I44" s="363" t="s">
        <v>314</v>
      </c>
      <c r="J44" s="364" t="s">
        <v>315</v>
      </c>
      <c r="K44" s="21"/>
      <c r="L44" s="21"/>
      <c r="M44" s="21"/>
      <c r="N44" s="21"/>
      <c r="O44" s="21"/>
      <c r="P44" s="21"/>
      <c r="Q44" s="21"/>
      <c r="R44" s="21"/>
      <c r="S44" s="21"/>
      <c r="T44" s="21"/>
      <c r="U44" s="21"/>
      <c r="V44" s="21"/>
      <c r="W44" s="21"/>
      <c r="X44" s="21"/>
      <c r="Y44" s="21"/>
      <c r="Z44" s="21"/>
      <c r="AA44" s="21"/>
      <c r="AB44" s="21"/>
      <c r="AC44" s="21"/>
      <c r="AD44" s="21"/>
    </row>
    <row r="45" spans="2:30" ht="16" thickBot="1" x14ac:dyDescent="0.4">
      <c r="B45" s="362" t="s">
        <v>316</v>
      </c>
      <c r="C45" s="363" t="s">
        <v>317</v>
      </c>
      <c r="D45" s="363" t="s">
        <v>318</v>
      </c>
      <c r="E45" s="363" t="s">
        <v>319</v>
      </c>
      <c r="F45" s="363" t="s">
        <v>320</v>
      </c>
      <c r="G45" s="363" t="s">
        <v>321</v>
      </c>
      <c r="H45" s="363" t="s">
        <v>322</v>
      </c>
      <c r="I45" s="363" t="s">
        <v>323</v>
      </c>
      <c r="J45" s="364" t="s">
        <v>324</v>
      </c>
      <c r="K45" s="21"/>
      <c r="L45" s="21"/>
      <c r="M45" s="21"/>
      <c r="N45" s="21"/>
      <c r="O45" s="21"/>
      <c r="P45" s="21"/>
      <c r="Q45" s="21"/>
      <c r="R45" s="21"/>
      <c r="S45" s="21"/>
      <c r="T45" s="21"/>
      <c r="U45" s="21"/>
      <c r="V45" s="21"/>
      <c r="W45" s="21"/>
      <c r="X45" s="21"/>
      <c r="Y45" s="21"/>
      <c r="Z45" s="21"/>
      <c r="AA45" s="21"/>
      <c r="AB45" s="21"/>
      <c r="AC45" s="21"/>
      <c r="AD45" s="21"/>
    </row>
    <row r="46" spans="2:30" ht="16" thickBot="1" x14ac:dyDescent="0.4">
      <c r="B46" s="362" t="s">
        <v>325</v>
      </c>
      <c r="C46" s="363" t="s">
        <v>326</v>
      </c>
      <c r="D46" s="363" t="s">
        <v>327</v>
      </c>
      <c r="E46" s="363" t="s">
        <v>328</v>
      </c>
      <c r="F46" s="363" t="s">
        <v>329</v>
      </c>
      <c r="G46" s="363" t="s">
        <v>330</v>
      </c>
      <c r="H46" s="363" t="s">
        <v>139</v>
      </c>
      <c r="I46" s="363" t="s">
        <v>331</v>
      </c>
      <c r="J46" s="364" t="s">
        <v>332</v>
      </c>
      <c r="K46" s="21"/>
      <c r="L46" s="21"/>
      <c r="M46" s="21"/>
      <c r="N46" s="21"/>
      <c r="O46" s="21"/>
      <c r="P46" s="21"/>
      <c r="Q46" s="21"/>
      <c r="R46" s="21"/>
      <c r="S46" s="21"/>
      <c r="T46" s="21"/>
      <c r="U46" s="21"/>
      <c r="V46" s="21"/>
      <c r="W46" s="21"/>
      <c r="X46" s="21"/>
      <c r="Y46" s="21"/>
      <c r="Z46" s="21"/>
      <c r="AA46" s="21"/>
      <c r="AB46" s="21"/>
      <c r="AC46" s="21"/>
      <c r="AD46" s="21"/>
    </row>
    <row r="47" spans="2:30" ht="16" thickBot="1" x14ac:dyDescent="0.4">
      <c r="B47" s="362" t="s">
        <v>333</v>
      </c>
      <c r="C47" s="363" t="s">
        <v>334</v>
      </c>
      <c r="D47" s="363" t="s">
        <v>335</v>
      </c>
      <c r="E47" s="363" t="s">
        <v>336</v>
      </c>
      <c r="F47" s="363" t="s">
        <v>337</v>
      </c>
      <c r="G47" s="363" t="s">
        <v>338</v>
      </c>
      <c r="H47" s="363" t="s">
        <v>339</v>
      </c>
      <c r="I47" s="363" t="s">
        <v>340</v>
      </c>
      <c r="J47" s="364" t="s">
        <v>341</v>
      </c>
      <c r="K47" s="21"/>
      <c r="L47" s="21"/>
      <c r="M47" s="21"/>
      <c r="N47" s="21"/>
      <c r="O47" s="21"/>
      <c r="P47" s="21"/>
      <c r="Q47" s="21"/>
      <c r="R47" s="21"/>
      <c r="S47" s="21"/>
      <c r="T47" s="21"/>
      <c r="U47" s="21"/>
      <c r="V47" s="21"/>
      <c r="W47" s="21"/>
      <c r="X47" s="21"/>
      <c r="Y47" s="21"/>
      <c r="Z47" s="21"/>
      <c r="AA47" s="21"/>
      <c r="AB47" s="21"/>
      <c r="AC47" s="21"/>
      <c r="AD47" s="21"/>
    </row>
    <row r="48" spans="2:30" ht="16" thickBot="1" x14ac:dyDescent="0.4">
      <c r="B48" s="362" t="s">
        <v>342</v>
      </c>
      <c r="C48" s="363" t="s">
        <v>343</v>
      </c>
      <c r="D48" s="363" t="s">
        <v>344</v>
      </c>
      <c r="E48" s="363" t="s">
        <v>345</v>
      </c>
      <c r="F48" s="363" t="s">
        <v>346</v>
      </c>
      <c r="G48" s="363" t="s">
        <v>347</v>
      </c>
      <c r="H48" s="363" t="s">
        <v>348</v>
      </c>
      <c r="I48" s="363" t="s">
        <v>349</v>
      </c>
      <c r="J48" s="364" t="s">
        <v>350</v>
      </c>
      <c r="K48" s="21"/>
      <c r="L48" s="21"/>
      <c r="M48" s="21"/>
      <c r="N48" s="21"/>
      <c r="O48" s="21"/>
      <c r="P48" s="21"/>
      <c r="Q48" s="21"/>
      <c r="R48" s="21"/>
      <c r="S48" s="21"/>
      <c r="T48" s="21"/>
      <c r="U48" s="21"/>
      <c r="V48" s="21"/>
      <c r="W48" s="21"/>
      <c r="X48" s="21"/>
      <c r="Y48" s="21"/>
      <c r="Z48" s="21"/>
      <c r="AA48" s="21"/>
      <c r="AB48" s="21"/>
      <c r="AC48" s="21"/>
      <c r="AD48" s="21"/>
    </row>
    <row r="49" spans="2:30" ht="16" thickBot="1" x14ac:dyDescent="0.4">
      <c r="B49" s="362" t="s">
        <v>351</v>
      </c>
      <c r="C49" s="363" t="s">
        <v>352</v>
      </c>
      <c r="D49" s="363" t="s">
        <v>353</v>
      </c>
      <c r="E49" s="363" t="s">
        <v>354</v>
      </c>
      <c r="F49" s="363" t="s">
        <v>355</v>
      </c>
      <c r="G49" s="363" t="s">
        <v>356</v>
      </c>
      <c r="H49" s="363" t="s">
        <v>357</v>
      </c>
      <c r="I49" s="363" t="s">
        <v>358</v>
      </c>
      <c r="J49" s="364" t="s">
        <v>359</v>
      </c>
      <c r="K49" s="21"/>
      <c r="L49" s="21"/>
      <c r="M49" s="21"/>
      <c r="N49" s="21"/>
      <c r="O49" s="21"/>
      <c r="P49" s="21"/>
      <c r="Q49" s="21"/>
      <c r="R49" s="21"/>
      <c r="S49" s="21"/>
      <c r="T49" s="21"/>
      <c r="U49" s="21"/>
      <c r="V49" s="21"/>
      <c r="W49" s="21"/>
      <c r="X49" s="21"/>
      <c r="Y49" s="21"/>
      <c r="Z49" s="21"/>
      <c r="AA49" s="21"/>
      <c r="AB49" s="21"/>
      <c r="AC49" s="21"/>
      <c r="AD49" s="21"/>
    </row>
    <row r="50" spans="2:30" ht="16" thickBot="1" x14ac:dyDescent="0.4">
      <c r="B50" s="362" t="s">
        <v>360</v>
      </c>
      <c r="C50" s="363" t="s">
        <v>361</v>
      </c>
      <c r="D50" s="363" t="s">
        <v>362</v>
      </c>
      <c r="E50" s="363" t="s">
        <v>363</v>
      </c>
      <c r="F50" s="363" t="s">
        <v>364</v>
      </c>
      <c r="G50" s="363" t="s">
        <v>365</v>
      </c>
      <c r="H50" s="363" t="s">
        <v>366</v>
      </c>
      <c r="I50" s="363" t="s">
        <v>367</v>
      </c>
      <c r="J50" s="364" t="s">
        <v>368</v>
      </c>
      <c r="K50" s="21"/>
      <c r="L50" s="21"/>
      <c r="M50" s="21"/>
      <c r="N50" s="21"/>
      <c r="O50" s="21"/>
      <c r="P50" s="21"/>
      <c r="Q50" s="21"/>
      <c r="R50" s="21"/>
      <c r="S50" s="21"/>
      <c r="T50" s="21"/>
      <c r="U50" s="21"/>
      <c r="V50" s="21"/>
      <c r="W50" s="21"/>
      <c r="X50" s="21"/>
      <c r="Y50" s="21"/>
      <c r="Z50" s="21"/>
      <c r="AA50" s="21"/>
      <c r="AB50" s="21"/>
      <c r="AC50" s="21"/>
      <c r="AD50" s="21"/>
    </row>
    <row r="51" spans="2:30" ht="16" thickBot="1" x14ac:dyDescent="0.4">
      <c r="B51" s="362" t="s">
        <v>369</v>
      </c>
      <c r="C51" s="363" t="s">
        <v>370</v>
      </c>
      <c r="D51" s="363" t="s">
        <v>371</v>
      </c>
      <c r="E51" s="363" t="s">
        <v>372</v>
      </c>
      <c r="F51" s="363" t="s">
        <v>373</v>
      </c>
      <c r="G51" s="363" t="s">
        <v>374</v>
      </c>
      <c r="H51" s="363" t="s">
        <v>375</v>
      </c>
      <c r="I51" s="363" t="s">
        <v>376</v>
      </c>
      <c r="J51" s="364" t="s">
        <v>377</v>
      </c>
      <c r="K51" s="21"/>
      <c r="L51" s="21"/>
      <c r="M51" s="21"/>
      <c r="N51" s="21"/>
      <c r="O51" s="21"/>
      <c r="P51" s="21"/>
      <c r="Q51" s="21"/>
      <c r="R51" s="21"/>
      <c r="S51" s="21"/>
      <c r="T51" s="21"/>
      <c r="U51" s="21"/>
      <c r="V51" s="21"/>
      <c r="W51" s="21"/>
      <c r="X51" s="21"/>
      <c r="Y51" s="21"/>
      <c r="Z51" s="21"/>
      <c r="AA51" s="21"/>
      <c r="AB51" s="21"/>
      <c r="AC51" s="21"/>
      <c r="AD51" s="21"/>
    </row>
    <row r="52" spans="2:30" ht="16" thickBot="1" x14ac:dyDescent="0.4">
      <c r="B52" s="362" t="s">
        <v>378</v>
      </c>
      <c r="C52" s="363" t="s">
        <v>379</v>
      </c>
      <c r="D52" s="363" t="s">
        <v>380</v>
      </c>
      <c r="E52" s="363" t="s">
        <v>381</v>
      </c>
      <c r="F52" s="363" t="s">
        <v>382</v>
      </c>
      <c r="G52" s="363" t="s">
        <v>383</v>
      </c>
      <c r="H52" s="363" t="s">
        <v>384</v>
      </c>
      <c r="I52" s="363" t="s">
        <v>385</v>
      </c>
      <c r="J52" s="364" t="s">
        <v>386</v>
      </c>
      <c r="K52" s="237"/>
      <c r="L52" s="21"/>
      <c r="M52" s="21"/>
      <c r="N52" s="21"/>
      <c r="O52" s="21"/>
      <c r="P52" s="21"/>
      <c r="Q52" s="21"/>
      <c r="R52" s="21"/>
      <c r="S52" s="21"/>
    </row>
    <row r="53" spans="2:30" ht="16" thickBot="1" x14ac:dyDescent="0.4">
      <c r="B53" s="362" t="s">
        <v>387</v>
      </c>
      <c r="C53" s="363" t="s">
        <v>388</v>
      </c>
      <c r="D53" s="363" t="s">
        <v>389</v>
      </c>
      <c r="E53" s="363" t="s">
        <v>390</v>
      </c>
      <c r="F53" s="363" t="s">
        <v>391</v>
      </c>
      <c r="G53" s="363" t="s">
        <v>392</v>
      </c>
      <c r="H53" s="363" t="s">
        <v>123</v>
      </c>
      <c r="I53" s="363" t="s">
        <v>393</v>
      </c>
      <c r="J53" s="364" t="s">
        <v>394</v>
      </c>
      <c r="K53" s="237"/>
      <c r="L53" s="21"/>
      <c r="M53" s="21"/>
      <c r="N53" s="21"/>
      <c r="O53" s="21"/>
      <c r="P53" s="21"/>
      <c r="Q53" s="21"/>
      <c r="R53" s="21"/>
      <c r="S53" s="21"/>
    </row>
    <row r="54" spans="2:30" ht="16" thickBot="1" x14ac:dyDescent="0.4">
      <c r="B54" s="365" t="s">
        <v>395</v>
      </c>
      <c r="C54" s="366" t="s">
        <v>396</v>
      </c>
      <c r="D54" s="366" t="s">
        <v>397</v>
      </c>
      <c r="E54" s="366" t="s">
        <v>398</v>
      </c>
      <c r="F54" s="366" t="s">
        <v>399</v>
      </c>
      <c r="G54" s="366" t="s">
        <v>400</v>
      </c>
      <c r="H54" s="366" t="s">
        <v>401</v>
      </c>
      <c r="I54" s="366" t="s">
        <v>402</v>
      </c>
      <c r="J54" s="367" t="s">
        <v>403</v>
      </c>
      <c r="K54" s="237"/>
      <c r="L54" s="21"/>
      <c r="M54" s="21"/>
      <c r="N54" s="21"/>
      <c r="O54" s="21"/>
      <c r="P54" s="21"/>
      <c r="Q54" s="21"/>
      <c r="R54" s="21"/>
      <c r="S54" s="21"/>
    </row>
    <row r="55" spans="2:30" ht="16" thickTop="1" x14ac:dyDescent="0.35">
      <c r="B55" s="341"/>
      <c r="C55" s="237"/>
      <c r="D55" s="237"/>
      <c r="E55" s="237"/>
      <c r="F55" s="237"/>
      <c r="G55" s="237"/>
      <c r="H55" s="237"/>
      <c r="I55" s="237"/>
      <c r="J55" s="237"/>
      <c r="K55" s="237"/>
      <c r="L55" s="21"/>
      <c r="M55" s="21"/>
      <c r="N55" s="21"/>
      <c r="O55" s="21"/>
      <c r="P55" s="21"/>
      <c r="Q55" s="21"/>
      <c r="R55" s="21"/>
      <c r="S55" s="21"/>
    </row>
    <row r="56" spans="2:30" ht="18.5" x14ac:dyDescent="0.35">
      <c r="B56" s="368" t="s">
        <v>997</v>
      </c>
      <c r="C56" s="237"/>
      <c r="D56" s="237"/>
      <c r="E56" s="237"/>
      <c r="F56" s="237"/>
      <c r="G56" s="237"/>
      <c r="H56" s="237"/>
      <c r="I56" s="237"/>
      <c r="J56" s="237"/>
      <c r="K56" s="237"/>
      <c r="L56" s="21"/>
      <c r="M56" s="21"/>
      <c r="N56" s="21"/>
      <c r="O56" s="21"/>
      <c r="P56" s="21"/>
      <c r="Q56" s="21"/>
      <c r="R56" s="21"/>
      <c r="S56" s="21"/>
    </row>
    <row r="57" spans="2:30" x14ac:dyDescent="0.35">
      <c r="B57" s="237"/>
      <c r="C57" s="237"/>
      <c r="D57" s="237"/>
      <c r="E57" s="237"/>
      <c r="F57" s="237"/>
      <c r="G57" s="237"/>
      <c r="H57" s="237"/>
      <c r="I57" s="237"/>
      <c r="J57" s="237"/>
      <c r="K57" s="237"/>
      <c r="L57" s="21"/>
      <c r="M57" s="21"/>
      <c r="N57" s="21"/>
      <c r="O57" s="21"/>
      <c r="P57" s="21"/>
      <c r="Q57" s="21"/>
      <c r="R57" s="21"/>
      <c r="S57" s="21"/>
    </row>
    <row r="58" spans="2:30" x14ac:dyDescent="0.35">
      <c r="B58" s="238"/>
      <c r="C58" s="16" t="s">
        <v>841</v>
      </c>
      <c r="D58" s="236"/>
      <c r="E58" s="237"/>
      <c r="F58" s="237"/>
      <c r="G58" s="237"/>
      <c r="H58" s="237"/>
      <c r="I58" s="237"/>
      <c r="J58" s="237"/>
      <c r="K58" s="237"/>
      <c r="L58" s="21"/>
      <c r="M58" s="21"/>
      <c r="N58" s="21"/>
      <c r="O58" s="21"/>
      <c r="P58" s="21"/>
      <c r="Q58" s="21"/>
      <c r="R58" s="21"/>
      <c r="S58" s="21"/>
    </row>
    <row r="59" spans="2:30" ht="12.75" customHeight="1" x14ac:dyDescent="0.35">
      <c r="B59" s="383"/>
      <c r="C59" s="383"/>
      <c r="D59" s="383"/>
      <c r="E59" s="383"/>
      <c r="F59" s="383"/>
      <c r="G59" s="383"/>
      <c r="H59" s="383"/>
      <c r="I59" s="383"/>
      <c r="J59" s="383"/>
      <c r="K59" s="383"/>
      <c r="L59" s="21"/>
      <c r="M59" s="21"/>
      <c r="N59" s="21"/>
      <c r="O59" s="21"/>
      <c r="P59" s="21"/>
      <c r="Q59" s="21"/>
      <c r="R59" s="21"/>
      <c r="S59" s="21"/>
    </row>
    <row r="60" spans="2:30" ht="12.75" customHeight="1" x14ac:dyDescent="0.35">
      <c r="B60" s="383"/>
      <c r="C60" s="383"/>
      <c r="D60" s="383"/>
      <c r="E60" s="383"/>
      <c r="F60" s="383"/>
      <c r="G60" s="383"/>
      <c r="H60" s="383"/>
      <c r="I60" s="383"/>
      <c r="J60" s="383"/>
      <c r="K60" s="383"/>
      <c r="L60" s="21"/>
      <c r="M60" s="21"/>
      <c r="N60" s="21"/>
      <c r="O60" s="21"/>
      <c r="P60" s="21"/>
      <c r="Q60" s="21"/>
      <c r="R60" s="21"/>
      <c r="S60" s="21"/>
    </row>
    <row r="61" spans="2:30" ht="12.75" customHeight="1" x14ac:dyDescent="0.35">
      <c r="B61" s="383"/>
      <c r="C61" s="383"/>
      <c r="D61" s="383"/>
      <c r="E61" s="383"/>
      <c r="F61" s="383"/>
      <c r="G61" s="383"/>
      <c r="H61" s="383"/>
      <c r="I61" s="383"/>
      <c r="J61" s="383"/>
      <c r="K61" s="383"/>
      <c r="L61" s="21"/>
      <c r="M61" s="21"/>
      <c r="N61" s="21"/>
      <c r="O61" s="21"/>
      <c r="P61" s="21"/>
      <c r="Q61" s="21"/>
      <c r="R61" s="21"/>
      <c r="S61" s="21"/>
    </row>
    <row r="62" spans="2:30" x14ac:dyDescent="0.35">
      <c r="B62" s="369"/>
      <c r="C62" s="369"/>
      <c r="D62" s="369"/>
      <c r="E62" s="369"/>
      <c r="F62" s="369"/>
      <c r="G62" s="369"/>
      <c r="H62" s="369"/>
      <c r="I62" s="369"/>
      <c r="J62" s="369"/>
      <c r="K62" s="369"/>
      <c r="L62" s="21"/>
      <c r="M62" s="21"/>
      <c r="N62" s="21"/>
      <c r="O62" s="21"/>
      <c r="P62" s="21"/>
      <c r="Q62" s="21"/>
      <c r="R62" s="21"/>
      <c r="S62" s="21"/>
    </row>
    <row r="63" spans="2:30" x14ac:dyDescent="0.35">
      <c r="B63" s="369"/>
      <c r="C63" s="369"/>
      <c r="D63" s="369"/>
      <c r="E63" s="369"/>
      <c r="F63" s="369"/>
      <c r="G63" s="369"/>
      <c r="H63" s="369"/>
      <c r="I63" s="369"/>
      <c r="J63" s="369"/>
      <c r="K63" s="369"/>
      <c r="L63" s="21"/>
      <c r="M63" s="21"/>
      <c r="N63" s="21"/>
      <c r="O63" s="21"/>
      <c r="P63" s="21"/>
      <c r="Q63" s="21"/>
      <c r="R63" s="21"/>
      <c r="S63" s="21"/>
    </row>
    <row r="64" spans="2:30" x14ac:dyDescent="0.35">
      <c r="B64" s="369"/>
      <c r="C64" s="369"/>
      <c r="D64" s="369"/>
      <c r="E64" s="369"/>
      <c r="F64" s="369"/>
      <c r="G64" s="369"/>
      <c r="H64" s="369"/>
      <c r="I64" s="369"/>
      <c r="J64" s="369"/>
      <c r="K64" s="369"/>
      <c r="L64" s="21"/>
      <c r="M64" s="21"/>
      <c r="N64" s="21"/>
      <c r="O64" s="21"/>
      <c r="P64" s="21"/>
      <c r="Q64" s="21"/>
      <c r="R64" s="21"/>
      <c r="S64" s="21"/>
    </row>
    <row r="65" spans="2:19" x14ac:dyDescent="0.35">
      <c r="B65" s="369"/>
      <c r="C65" s="369"/>
      <c r="D65" s="369"/>
      <c r="E65" s="369"/>
      <c r="F65" s="369"/>
      <c r="G65" s="369"/>
      <c r="H65" s="369"/>
      <c r="I65" s="369"/>
      <c r="J65" s="369"/>
      <c r="K65" s="369"/>
      <c r="L65" s="21"/>
      <c r="M65" s="21"/>
      <c r="N65" s="21"/>
      <c r="O65" s="21"/>
      <c r="P65" s="21"/>
      <c r="Q65" s="21"/>
      <c r="R65" s="21"/>
      <c r="S65" s="21"/>
    </row>
    <row r="66" spans="2:19" x14ac:dyDescent="0.35">
      <c r="B66" s="370"/>
      <c r="C66" s="370"/>
      <c r="D66" s="370"/>
      <c r="E66" s="370"/>
      <c r="F66" s="370"/>
      <c r="G66" s="370"/>
      <c r="H66" s="370"/>
      <c r="I66" s="370"/>
      <c r="J66" s="370"/>
      <c r="K66" s="370"/>
      <c r="L66" s="21"/>
      <c r="M66" s="21"/>
      <c r="N66" s="21"/>
      <c r="O66" s="21"/>
      <c r="P66" s="21"/>
      <c r="Q66" s="21"/>
      <c r="R66" s="21"/>
      <c r="S66" s="21"/>
    </row>
    <row r="67" spans="2:19" x14ac:dyDescent="0.35">
      <c r="B67" s="370"/>
      <c r="C67" s="370"/>
      <c r="D67" s="370"/>
      <c r="E67" s="370"/>
      <c r="F67" s="370"/>
      <c r="G67" s="370"/>
      <c r="H67" s="370"/>
      <c r="I67" s="370"/>
      <c r="J67" s="370"/>
      <c r="K67" s="370"/>
      <c r="L67" s="21"/>
      <c r="M67" s="21"/>
      <c r="N67" s="21"/>
      <c r="O67" s="21"/>
      <c r="P67" s="21"/>
      <c r="Q67" s="21"/>
      <c r="R67" s="21"/>
      <c r="S67" s="21"/>
    </row>
    <row r="68" spans="2:19" ht="12.75" customHeight="1" x14ac:dyDescent="0.35">
      <c r="B68" s="382"/>
      <c r="C68" s="382"/>
      <c r="D68" s="382"/>
      <c r="E68" s="382"/>
      <c r="F68" s="382"/>
      <c r="G68" s="382"/>
      <c r="H68" s="382"/>
      <c r="I68" s="382"/>
      <c r="J68" s="382"/>
      <c r="K68" s="382"/>
      <c r="L68" s="21"/>
      <c r="M68" s="21"/>
      <c r="N68" s="21"/>
      <c r="O68" s="21"/>
      <c r="P68" s="21"/>
      <c r="Q68" s="21"/>
      <c r="R68" s="21"/>
      <c r="S68" s="21"/>
    </row>
    <row r="69" spans="2:19" x14ac:dyDescent="0.35">
      <c r="B69" s="370"/>
      <c r="C69" s="370"/>
      <c r="D69" s="370"/>
      <c r="E69" s="370"/>
      <c r="F69" s="370"/>
      <c r="G69" s="370"/>
      <c r="H69" s="370"/>
      <c r="I69" s="370"/>
      <c r="J69" s="370"/>
      <c r="K69" s="370"/>
      <c r="L69" s="21"/>
      <c r="M69" s="21"/>
      <c r="N69" s="21"/>
      <c r="O69" s="21"/>
      <c r="P69" s="21"/>
      <c r="Q69" s="21"/>
      <c r="R69" s="21"/>
      <c r="S69" s="21"/>
    </row>
    <row r="70" spans="2:19" x14ac:dyDescent="0.35">
      <c r="B70" s="370"/>
      <c r="C70" s="370"/>
      <c r="D70" s="370"/>
      <c r="E70" s="370"/>
      <c r="F70" s="370"/>
      <c r="G70" s="370"/>
      <c r="H70" s="370"/>
      <c r="I70" s="370"/>
      <c r="J70" s="370"/>
      <c r="K70" s="370"/>
      <c r="L70" s="21"/>
      <c r="M70" s="21"/>
      <c r="N70" s="21"/>
      <c r="O70" s="21"/>
      <c r="P70" s="21"/>
      <c r="Q70" s="21"/>
      <c r="R70" s="21"/>
      <c r="S70" s="21"/>
    </row>
    <row r="71" spans="2:19" x14ac:dyDescent="0.35">
      <c r="B71" s="370"/>
      <c r="C71" s="370"/>
      <c r="D71" s="370"/>
      <c r="E71" s="370"/>
      <c r="F71" s="370"/>
      <c r="G71" s="370"/>
      <c r="H71" s="370"/>
      <c r="I71" s="370"/>
      <c r="J71" s="370"/>
      <c r="K71" s="370"/>
      <c r="L71" s="21"/>
      <c r="M71" s="21"/>
      <c r="N71" s="21"/>
      <c r="O71" s="21"/>
      <c r="P71" s="21"/>
      <c r="Q71" s="21"/>
      <c r="R71" s="21"/>
      <c r="S71" s="21"/>
    </row>
    <row r="72" spans="2:19" x14ac:dyDescent="0.35">
      <c r="B72" s="370"/>
      <c r="C72" s="370"/>
      <c r="D72" s="370"/>
      <c r="E72" s="370"/>
      <c r="F72" s="370"/>
      <c r="G72" s="370"/>
      <c r="H72" s="370"/>
      <c r="I72" s="370"/>
      <c r="J72" s="370"/>
      <c r="K72" s="370"/>
      <c r="L72" s="21"/>
      <c r="M72" s="21"/>
      <c r="N72" s="21"/>
      <c r="O72" s="21"/>
      <c r="P72" s="21"/>
      <c r="Q72" s="21"/>
      <c r="R72" s="21"/>
      <c r="S72" s="21"/>
    </row>
    <row r="73" spans="2:19" x14ac:dyDescent="0.35">
      <c r="B73" s="370"/>
      <c r="C73" s="370"/>
      <c r="D73" s="370"/>
      <c r="E73" s="370"/>
      <c r="F73" s="370"/>
      <c r="G73" s="370"/>
      <c r="H73" s="370"/>
      <c r="I73" s="370"/>
      <c r="J73" s="370"/>
      <c r="K73" s="370"/>
      <c r="L73" s="21"/>
      <c r="M73" s="21"/>
      <c r="N73" s="21"/>
      <c r="O73" s="21"/>
      <c r="P73" s="21"/>
      <c r="Q73" s="21"/>
      <c r="R73" s="21"/>
      <c r="S73" s="21"/>
    </row>
    <row r="74" spans="2:19" ht="12.75" customHeight="1" x14ac:dyDescent="0.35">
      <c r="B74" s="382"/>
      <c r="C74" s="382"/>
      <c r="D74" s="382"/>
      <c r="E74" s="382"/>
      <c r="F74" s="382"/>
      <c r="G74" s="382"/>
      <c r="H74" s="382"/>
      <c r="I74" s="382"/>
      <c r="J74" s="382"/>
      <c r="K74" s="382"/>
      <c r="L74" s="21"/>
      <c r="M74" s="21"/>
      <c r="N74" s="21"/>
      <c r="O74" s="21"/>
      <c r="P74" s="21"/>
      <c r="Q74" s="21"/>
      <c r="R74" s="21"/>
      <c r="S74" s="21"/>
    </row>
    <row r="75" spans="2:19" x14ac:dyDescent="0.35">
      <c r="B75" s="370"/>
      <c r="C75" s="370"/>
      <c r="D75" s="370"/>
      <c r="E75" s="370"/>
      <c r="F75" s="370"/>
      <c r="G75" s="370"/>
      <c r="H75" s="370"/>
      <c r="I75" s="370"/>
      <c r="J75" s="370"/>
      <c r="K75" s="370"/>
      <c r="L75" s="21"/>
      <c r="M75" s="21"/>
      <c r="N75" s="21"/>
      <c r="O75" s="21"/>
      <c r="P75" s="21"/>
      <c r="Q75" s="21"/>
      <c r="R75" s="21"/>
      <c r="S75" s="21"/>
    </row>
    <row r="76" spans="2:19" x14ac:dyDescent="0.35">
      <c r="B76" s="370"/>
      <c r="C76" s="370"/>
      <c r="D76" s="370"/>
      <c r="E76" s="370"/>
      <c r="F76" s="370"/>
      <c r="G76" s="370"/>
      <c r="H76" s="370"/>
      <c r="I76" s="370"/>
      <c r="J76" s="370"/>
      <c r="K76" s="370"/>
      <c r="L76" s="21"/>
      <c r="M76" s="21"/>
      <c r="N76" s="21"/>
      <c r="O76" s="21"/>
      <c r="P76" s="21"/>
      <c r="Q76" s="21"/>
      <c r="R76" s="21"/>
      <c r="S76" s="21"/>
    </row>
    <row r="77" spans="2:19" x14ac:dyDescent="0.35">
      <c r="B77" s="370"/>
      <c r="C77" s="370"/>
      <c r="D77" s="370"/>
      <c r="E77" s="370"/>
      <c r="F77" s="370"/>
      <c r="G77" s="370"/>
      <c r="H77" s="370"/>
      <c r="I77" s="370"/>
      <c r="J77" s="370"/>
      <c r="K77" s="370"/>
      <c r="L77" s="21"/>
      <c r="M77" s="21"/>
      <c r="N77" s="21"/>
      <c r="O77" s="21"/>
      <c r="P77" s="21"/>
      <c r="Q77" s="21"/>
      <c r="R77" s="21"/>
      <c r="S77" s="21"/>
    </row>
    <row r="78" spans="2:19" x14ac:dyDescent="0.35">
      <c r="B78" s="370"/>
      <c r="C78" s="370"/>
      <c r="D78" s="370"/>
      <c r="E78" s="370"/>
      <c r="F78" s="370"/>
      <c r="G78" s="370"/>
      <c r="H78" s="370"/>
      <c r="I78" s="370"/>
      <c r="J78" s="370"/>
      <c r="K78" s="370"/>
      <c r="L78" s="21"/>
      <c r="M78" s="21"/>
      <c r="N78" s="21"/>
      <c r="O78" s="21"/>
      <c r="P78" s="21"/>
      <c r="Q78" s="21"/>
      <c r="R78" s="21"/>
      <c r="S78" s="21"/>
    </row>
    <row r="79" spans="2:19" x14ac:dyDescent="0.35">
      <c r="B79" s="370"/>
      <c r="C79" s="370"/>
      <c r="D79" s="370"/>
      <c r="E79" s="370"/>
      <c r="F79" s="370"/>
      <c r="G79" s="370"/>
      <c r="H79" s="370"/>
      <c r="I79" s="370"/>
      <c r="J79" s="370"/>
      <c r="K79" s="370"/>
    </row>
    <row r="80" spans="2:19" x14ac:dyDescent="0.35">
      <c r="B80" s="370"/>
      <c r="C80" s="370"/>
      <c r="D80" s="370"/>
      <c r="E80" s="370"/>
      <c r="F80" s="370"/>
      <c r="G80" s="370"/>
      <c r="H80" s="370"/>
      <c r="I80" s="370"/>
      <c r="J80" s="370"/>
      <c r="K80" s="370"/>
    </row>
    <row r="81" spans="2:11" x14ac:dyDescent="0.35">
      <c r="B81" s="370"/>
      <c r="C81" s="370"/>
      <c r="D81" s="370"/>
      <c r="E81" s="370"/>
      <c r="F81" s="370"/>
      <c r="G81" s="370"/>
      <c r="H81" s="370"/>
      <c r="I81" s="370"/>
      <c r="J81" s="370"/>
      <c r="K81" s="370"/>
    </row>
    <row r="82" spans="2:11" x14ac:dyDescent="0.35">
      <c r="B82" s="370"/>
      <c r="C82" s="370"/>
      <c r="D82" s="370"/>
      <c r="E82" s="370"/>
      <c r="F82" s="370"/>
      <c r="G82" s="370"/>
      <c r="H82" s="370"/>
      <c r="I82" s="370"/>
      <c r="J82" s="370"/>
      <c r="K82" s="370"/>
    </row>
    <row r="83" spans="2:11" x14ac:dyDescent="0.35">
      <c r="B83" s="370"/>
      <c r="C83" s="370"/>
      <c r="D83" s="370"/>
      <c r="E83" s="370"/>
      <c r="F83" s="370"/>
      <c r="G83" s="370"/>
      <c r="H83" s="370"/>
      <c r="I83" s="370"/>
      <c r="J83" s="370"/>
      <c r="K83" s="371"/>
    </row>
    <row r="84" spans="2:11" x14ac:dyDescent="0.35">
      <c r="B84" s="370"/>
      <c r="C84" s="370"/>
      <c r="D84" s="370"/>
      <c r="E84" s="370"/>
      <c r="F84" s="370"/>
      <c r="G84" s="370"/>
      <c r="H84" s="370"/>
      <c r="I84" s="370"/>
      <c r="J84" s="370"/>
      <c r="K84" s="370"/>
    </row>
    <row r="85" spans="2:11" ht="12.75" customHeight="1" x14ac:dyDescent="0.35">
      <c r="B85" s="382"/>
      <c r="C85" s="382"/>
      <c r="D85" s="382"/>
      <c r="E85" s="382"/>
      <c r="F85" s="382"/>
      <c r="G85" s="382"/>
      <c r="H85" s="382"/>
      <c r="I85" s="382"/>
      <c r="J85" s="382"/>
      <c r="K85" s="382"/>
    </row>
    <row r="86" spans="2:11" x14ac:dyDescent="0.35">
      <c r="B86" s="370"/>
      <c r="C86" s="370"/>
      <c r="D86" s="370"/>
      <c r="E86" s="370"/>
      <c r="F86" s="370"/>
      <c r="G86" s="370"/>
      <c r="H86" s="370"/>
      <c r="I86" s="370"/>
      <c r="J86" s="370"/>
      <c r="K86" s="370"/>
    </row>
    <row r="87" spans="2:11" x14ac:dyDescent="0.35">
      <c r="B87" s="370"/>
      <c r="C87" s="370"/>
      <c r="D87" s="370"/>
      <c r="E87" s="370"/>
      <c r="F87" s="370"/>
      <c r="G87" s="370"/>
      <c r="H87" s="370"/>
      <c r="I87" s="370"/>
      <c r="J87" s="370"/>
      <c r="K87" s="370"/>
    </row>
    <row r="88" spans="2:11" x14ac:dyDescent="0.35">
      <c r="B88" s="370"/>
      <c r="C88" s="370"/>
      <c r="D88" s="370"/>
      <c r="E88" s="370"/>
      <c r="F88" s="370"/>
      <c r="G88" s="370"/>
      <c r="H88" s="370"/>
      <c r="I88" s="370"/>
      <c r="J88" s="370"/>
      <c r="K88" s="370"/>
    </row>
    <row r="89" spans="2:11" x14ac:dyDescent="0.35">
      <c r="B89" s="370"/>
      <c r="C89" s="370"/>
      <c r="D89" s="370"/>
      <c r="E89" s="370"/>
      <c r="F89" s="370"/>
      <c r="G89" s="370"/>
      <c r="H89" s="370"/>
      <c r="I89" s="370"/>
      <c r="J89" s="370"/>
      <c r="K89" s="370"/>
    </row>
    <row r="90" spans="2:11" x14ac:dyDescent="0.35">
      <c r="B90" s="370"/>
      <c r="C90" s="370"/>
      <c r="D90" s="370"/>
      <c r="E90" s="370"/>
      <c r="F90" s="370"/>
      <c r="G90" s="370"/>
      <c r="H90" s="370"/>
      <c r="I90" s="370"/>
      <c r="J90" s="370"/>
      <c r="K90" s="370"/>
    </row>
    <row r="91" spans="2:11" ht="12.75" customHeight="1" x14ac:dyDescent="0.35">
      <c r="B91" s="382"/>
      <c r="C91" s="382"/>
      <c r="D91" s="382"/>
      <c r="E91" s="382"/>
      <c r="F91" s="382"/>
      <c r="G91" s="382"/>
      <c r="H91" s="382"/>
      <c r="I91" s="382"/>
      <c r="J91" s="382"/>
      <c r="K91" s="382"/>
    </row>
    <row r="92" spans="2:11" x14ac:dyDescent="0.35">
      <c r="B92" s="370"/>
      <c r="C92" s="370"/>
      <c r="D92" s="370"/>
      <c r="E92" s="370"/>
      <c r="F92" s="370"/>
      <c r="G92" s="370"/>
      <c r="H92" s="370"/>
      <c r="I92" s="370"/>
      <c r="J92" s="370"/>
      <c r="K92" s="370"/>
    </row>
    <row r="93" spans="2:11" ht="12.75" customHeight="1" x14ac:dyDescent="0.35">
      <c r="B93" s="382"/>
      <c r="C93" s="382"/>
      <c r="D93" s="382"/>
      <c r="E93" s="382"/>
      <c r="F93" s="382"/>
      <c r="G93" s="382"/>
      <c r="H93" s="382"/>
      <c r="I93" s="382"/>
      <c r="J93" s="382"/>
      <c r="K93" s="382"/>
    </row>
    <row r="94" spans="2:11" x14ac:dyDescent="0.35">
      <c r="B94" s="370"/>
      <c r="C94" s="370"/>
      <c r="D94" s="370"/>
      <c r="E94" s="370"/>
      <c r="F94" s="370"/>
      <c r="G94" s="370"/>
      <c r="H94" s="370"/>
      <c r="I94" s="370"/>
      <c r="J94" s="370"/>
      <c r="K94" s="370"/>
    </row>
    <row r="95" spans="2:11" x14ac:dyDescent="0.35">
      <c r="B95" s="370"/>
      <c r="C95" s="370"/>
      <c r="D95" s="370"/>
      <c r="E95" s="370"/>
      <c r="F95" s="370"/>
      <c r="G95" s="370"/>
      <c r="H95" s="370"/>
      <c r="I95" s="370"/>
      <c r="J95" s="370"/>
      <c r="K95" s="370"/>
    </row>
    <row r="96" spans="2:11" x14ac:dyDescent="0.35">
      <c r="B96" s="370"/>
      <c r="C96" s="370"/>
      <c r="D96" s="370"/>
      <c r="E96" s="370"/>
      <c r="F96" s="370"/>
      <c r="G96" s="370"/>
      <c r="H96" s="370"/>
      <c r="I96" s="370"/>
      <c r="J96" s="370"/>
      <c r="K96" s="370"/>
    </row>
    <row r="97" spans="2:11" x14ac:dyDescent="0.35">
      <c r="B97" s="370"/>
      <c r="C97" s="370"/>
      <c r="D97" s="370"/>
      <c r="E97" s="370"/>
      <c r="F97" s="370"/>
      <c r="G97" s="370"/>
      <c r="H97" s="370"/>
      <c r="I97" s="370"/>
      <c r="J97" s="370"/>
      <c r="K97" s="370"/>
    </row>
    <row r="98" spans="2:11" ht="12.75" customHeight="1" x14ac:dyDescent="0.35">
      <c r="B98" s="382"/>
      <c r="C98" s="382"/>
      <c r="D98" s="382"/>
      <c r="E98" s="382"/>
      <c r="F98" s="382"/>
      <c r="G98" s="382"/>
      <c r="H98" s="382"/>
      <c r="I98" s="382"/>
      <c r="J98" s="382"/>
      <c r="K98" s="382"/>
    </row>
    <row r="99" spans="2:11" x14ac:dyDescent="0.35">
      <c r="B99" s="370"/>
      <c r="C99" s="370"/>
      <c r="D99" s="370"/>
      <c r="E99" s="370"/>
      <c r="F99" s="370"/>
      <c r="G99" s="370"/>
      <c r="H99" s="370"/>
      <c r="I99" s="370"/>
      <c r="J99" s="370"/>
      <c r="K99" s="370"/>
    </row>
    <row r="100" spans="2:11" x14ac:dyDescent="0.35">
      <c r="B100" s="370"/>
      <c r="C100" s="370"/>
      <c r="D100" s="370"/>
      <c r="E100" s="370"/>
      <c r="F100" s="370"/>
      <c r="G100" s="370"/>
      <c r="H100" s="370"/>
      <c r="I100" s="370"/>
      <c r="J100" s="370"/>
      <c r="K100" s="370"/>
    </row>
    <row r="101" spans="2:11" x14ac:dyDescent="0.35">
      <c r="B101" s="370"/>
      <c r="C101" s="370"/>
      <c r="D101" s="370"/>
      <c r="E101" s="370"/>
      <c r="F101" s="370"/>
      <c r="G101" s="370"/>
      <c r="H101" s="370"/>
      <c r="I101" s="370"/>
      <c r="J101" s="370"/>
      <c r="K101" s="370"/>
    </row>
    <row r="102" spans="2:11" ht="12.75" customHeight="1" x14ac:dyDescent="0.35">
      <c r="B102" s="382"/>
      <c r="C102" s="382"/>
      <c r="D102" s="382"/>
      <c r="E102" s="382"/>
      <c r="F102" s="382"/>
      <c r="G102" s="382"/>
      <c r="H102" s="382"/>
      <c r="I102" s="382"/>
      <c r="J102" s="382"/>
      <c r="K102" s="382"/>
    </row>
    <row r="103" spans="2:11" x14ac:dyDescent="0.35">
      <c r="B103" s="370"/>
      <c r="C103" s="370"/>
      <c r="D103" s="370"/>
      <c r="E103" s="370"/>
      <c r="F103" s="370"/>
      <c r="G103" s="370"/>
      <c r="H103" s="370"/>
      <c r="I103" s="370"/>
      <c r="J103" s="370"/>
      <c r="K103" s="370"/>
    </row>
    <row r="104" spans="2:11" x14ac:dyDescent="0.35">
      <c r="B104" s="370"/>
      <c r="C104" s="370"/>
      <c r="D104" s="370"/>
      <c r="E104" s="370"/>
      <c r="F104" s="370"/>
      <c r="G104" s="370"/>
      <c r="H104" s="370"/>
      <c r="I104" s="370"/>
      <c r="J104" s="370"/>
      <c r="K104" s="370"/>
    </row>
    <row r="105" spans="2:11" x14ac:dyDescent="0.35">
      <c r="B105" s="370"/>
      <c r="C105" s="370"/>
      <c r="D105" s="370"/>
      <c r="E105" s="370"/>
      <c r="F105" s="370"/>
      <c r="G105" s="370"/>
      <c r="H105" s="370"/>
      <c r="I105" s="370"/>
      <c r="J105" s="370"/>
      <c r="K105" s="371"/>
    </row>
    <row r="106" spans="2:11" x14ac:dyDescent="0.35">
      <c r="B106" s="370"/>
      <c r="C106" s="370"/>
      <c r="D106" s="370"/>
      <c r="E106" s="370"/>
      <c r="F106" s="370"/>
      <c r="G106" s="370"/>
      <c r="H106" s="370"/>
      <c r="I106" s="370"/>
      <c r="J106" s="370"/>
      <c r="K106" s="370"/>
    </row>
    <row r="107" spans="2:11" ht="12.75" customHeight="1" x14ac:dyDescent="0.35">
      <c r="B107" s="382"/>
      <c r="C107" s="382"/>
      <c r="D107" s="382"/>
      <c r="E107" s="382"/>
      <c r="F107" s="382"/>
      <c r="G107" s="382"/>
      <c r="H107" s="382"/>
      <c r="I107" s="382"/>
      <c r="J107" s="382"/>
      <c r="K107" s="382"/>
    </row>
    <row r="108" spans="2:11" x14ac:dyDescent="0.35">
      <c r="B108" s="370"/>
      <c r="C108" s="370"/>
      <c r="D108" s="370"/>
      <c r="E108" s="370"/>
      <c r="F108" s="370"/>
      <c r="G108" s="370"/>
      <c r="H108" s="370"/>
      <c r="I108" s="370"/>
      <c r="J108" s="370"/>
      <c r="K108" s="370"/>
    </row>
    <row r="109" spans="2:11" x14ac:dyDescent="0.35">
      <c r="B109" s="370"/>
      <c r="C109" s="370"/>
      <c r="D109" s="370"/>
      <c r="E109" s="370"/>
      <c r="F109" s="370"/>
      <c r="G109" s="370"/>
      <c r="H109" s="370"/>
      <c r="I109" s="370"/>
      <c r="J109" s="370"/>
      <c r="K109" s="370"/>
    </row>
    <row r="110" spans="2:11" x14ac:dyDescent="0.35">
      <c r="B110" s="370"/>
      <c r="C110" s="370"/>
      <c r="D110" s="370"/>
      <c r="E110" s="370"/>
      <c r="F110" s="370"/>
      <c r="G110" s="370"/>
      <c r="H110" s="370"/>
      <c r="I110" s="370"/>
      <c r="J110" s="370"/>
      <c r="K110" s="370"/>
    </row>
    <row r="111" spans="2:11" x14ac:dyDescent="0.35">
      <c r="B111" s="370"/>
      <c r="C111" s="370"/>
      <c r="D111" s="370"/>
      <c r="E111" s="370"/>
      <c r="F111" s="370"/>
      <c r="G111" s="370"/>
      <c r="H111" s="370"/>
      <c r="I111" s="370"/>
      <c r="J111" s="370"/>
      <c r="K111" s="370"/>
    </row>
    <row r="112" spans="2:11" x14ac:dyDescent="0.35">
      <c r="B112" s="370"/>
      <c r="C112" s="370"/>
      <c r="D112" s="370"/>
      <c r="E112" s="370"/>
      <c r="F112" s="370"/>
      <c r="G112" s="370"/>
      <c r="H112" s="370"/>
      <c r="I112" s="370"/>
      <c r="J112" s="370"/>
      <c r="K112" s="370"/>
    </row>
    <row r="113" spans="2:11" x14ac:dyDescent="0.35">
      <c r="B113" s="370"/>
      <c r="C113" s="370"/>
      <c r="D113" s="370"/>
      <c r="E113" s="370"/>
      <c r="F113" s="370"/>
      <c r="G113" s="370"/>
      <c r="H113" s="370"/>
      <c r="I113" s="370"/>
      <c r="J113" s="370"/>
      <c r="K113" s="370"/>
    </row>
    <row r="114" spans="2:11" x14ac:dyDescent="0.35">
      <c r="B114" s="370"/>
      <c r="C114" s="370"/>
      <c r="D114" s="370"/>
      <c r="E114" s="370"/>
      <c r="F114" s="370"/>
      <c r="G114" s="370"/>
      <c r="H114" s="370"/>
      <c r="I114" s="370"/>
      <c r="J114" s="370"/>
      <c r="K114" s="370"/>
    </row>
    <row r="115" spans="2:11" x14ac:dyDescent="0.35">
      <c r="B115" s="370"/>
      <c r="C115" s="370"/>
      <c r="D115" s="370"/>
      <c r="E115" s="370"/>
      <c r="F115" s="370"/>
      <c r="G115" s="370"/>
      <c r="H115" s="370"/>
      <c r="I115" s="370"/>
      <c r="J115" s="370"/>
      <c r="K115" s="370"/>
    </row>
    <row r="116" spans="2:11" x14ac:dyDescent="0.35">
      <c r="B116" s="370"/>
      <c r="C116" s="370"/>
      <c r="D116" s="370"/>
      <c r="E116" s="370"/>
      <c r="F116" s="370"/>
      <c r="G116" s="370"/>
      <c r="H116" s="370"/>
      <c r="I116" s="370"/>
      <c r="J116" s="370"/>
      <c r="K116" s="370"/>
    </row>
    <row r="117" spans="2:11" x14ac:dyDescent="0.35">
      <c r="B117" s="370"/>
      <c r="C117" s="370"/>
      <c r="D117" s="370"/>
      <c r="E117" s="370"/>
      <c r="F117" s="370"/>
      <c r="G117" s="370"/>
      <c r="H117" s="370"/>
      <c r="I117" s="370"/>
      <c r="J117" s="370"/>
      <c r="K117" s="370"/>
    </row>
    <row r="118" spans="2:11" x14ac:dyDescent="0.35">
      <c r="B118" s="370"/>
      <c r="C118" s="370"/>
      <c r="D118" s="370"/>
      <c r="E118" s="370"/>
      <c r="F118" s="370"/>
      <c r="G118" s="370"/>
      <c r="H118" s="370"/>
      <c r="I118" s="370"/>
      <c r="J118" s="370"/>
      <c r="K118" s="370"/>
    </row>
    <row r="119" spans="2:11" x14ac:dyDescent="0.35">
      <c r="B119" s="370"/>
      <c r="C119" s="370"/>
      <c r="D119" s="370"/>
      <c r="E119" s="370"/>
      <c r="F119" s="370"/>
      <c r="G119" s="370"/>
      <c r="H119" s="370"/>
      <c r="I119" s="370"/>
      <c r="J119" s="370"/>
      <c r="K119" s="370"/>
    </row>
    <row r="120" spans="2:11" x14ac:dyDescent="0.35">
      <c r="B120" s="370"/>
      <c r="C120" s="370"/>
      <c r="D120" s="370"/>
      <c r="E120" s="370"/>
      <c r="F120" s="370"/>
      <c r="G120" s="370"/>
      <c r="H120" s="370"/>
      <c r="I120" s="370"/>
      <c r="J120" s="370"/>
      <c r="K120" s="370"/>
    </row>
    <row r="121" spans="2:11" ht="12.75" customHeight="1" x14ac:dyDescent="0.35">
      <c r="B121" s="382"/>
      <c r="C121" s="382"/>
      <c r="D121" s="382"/>
      <c r="E121" s="382"/>
      <c r="F121" s="382"/>
      <c r="G121" s="382"/>
      <c r="H121" s="382"/>
      <c r="I121" s="382"/>
      <c r="J121" s="382"/>
      <c r="K121" s="382"/>
    </row>
    <row r="122" spans="2:11" x14ac:dyDescent="0.35">
      <c r="B122" s="370"/>
      <c r="C122" s="370"/>
      <c r="D122" s="370"/>
      <c r="E122" s="370"/>
      <c r="F122" s="370"/>
      <c r="G122" s="370"/>
      <c r="H122" s="370"/>
      <c r="I122" s="370"/>
      <c r="J122" s="370"/>
      <c r="K122" s="370"/>
    </row>
    <row r="123" spans="2:11" x14ac:dyDescent="0.35">
      <c r="B123" s="370"/>
      <c r="C123" s="370"/>
      <c r="D123" s="370"/>
      <c r="E123" s="370"/>
      <c r="F123" s="370"/>
      <c r="G123" s="370"/>
      <c r="H123" s="370"/>
      <c r="I123" s="370"/>
      <c r="J123" s="370"/>
      <c r="K123" s="370"/>
    </row>
    <row r="124" spans="2:11" ht="12.75" customHeight="1" x14ac:dyDescent="0.35">
      <c r="B124" s="382"/>
      <c r="C124" s="382"/>
      <c r="D124" s="382"/>
      <c r="E124" s="382"/>
      <c r="F124" s="382"/>
      <c r="G124" s="382"/>
      <c r="H124" s="382"/>
      <c r="I124" s="382"/>
      <c r="J124" s="382"/>
      <c r="K124" s="382"/>
    </row>
    <row r="125" spans="2:11" x14ac:dyDescent="0.35">
      <c r="B125" s="370"/>
      <c r="C125" s="370"/>
      <c r="D125" s="370"/>
      <c r="E125" s="370"/>
      <c r="F125" s="370"/>
      <c r="G125" s="370"/>
      <c r="H125" s="370"/>
      <c r="I125" s="370"/>
      <c r="J125" s="370"/>
      <c r="K125" s="370"/>
    </row>
    <row r="126" spans="2:11" x14ac:dyDescent="0.35">
      <c r="B126" s="370"/>
      <c r="C126" s="370"/>
      <c r="D126" s="370"/>
      <c r="E126" s="370"/>
      <c r="F126" s="370"/>
      <c r="G126" s="370"/>
      <c r="H126" s="370"/>
      <c r="I126" s="370"/>
      <c r="J126" s="370"/>
      <c r="K126" s="370"/>
    </row>
    <row r="127" spans="2:11" ht="12.75" customHeight="1" x14ac:dyDescent="0.35">
      <c r="B127" s="382"/>
      <c r="C127" s="382"/>
      <c r="D127" s="382"/>
      <c r="E127" s="382"/>
      <c r="F127" s="382"/>
      <c r="G127" s="382"/>
      <c r="H127" s="382"/>
      <c r="I127" s="382"/>
      <c r="J127" s="382"/>
      <c r="K127" s="382"/>
    </row>
    <row r="128" spans="2:11" x14ac:dyDescent="0.35">
      <c r="B128" s="370"/>
      <c r="C128" s="370"/>
      <c r="D128" s="370"/>
      <c r="E128" s="370"/>
      <c r="F128" s="370"/>
      <c r="G128" s="370"/>
      <c r="H128" s="370"/>
      <c r="I128" s="370"/>
      <c r="J128" s="370"/>
      <c r="K128" s="370"/>
    </row>
  </sheetData>
  <sheetProtection sheet="1" objects="1" scenarios="1" selectLockedCells="1"/>
  <mergeCells count="15">
    <mergeCell ref="B68:K68"/>
    <mergeCell ref="B74:K74"/>
    <mergeCell ref="B85:K85"/>
    <mergeCell ref="B91:K91"/>
    <mergeCell ref="B59:K59"/>
    <mergeCell ref="B60:F60"/>
    <mergeCell ref="G60:K60"/>
    <mergeCell ref="B61:K61"/>
    <mergeCell ref="B121:K121"/>
    <mergeCell ref="B124:K124"/>
    <mergeCell ref="B127:K127"/>
    <mergeCell ref="B93:K93"/>
    <mergeCell ref="B98:K98"/>
    <mergeCell ref="B102:K102"/>
    <mergeCell ref="B107:K107"/>
  </mergeCells>
  <phoneticPr fontId="4" type="noConversion"/>
  <hyperlinks>
    <hyperlink ref="B15" r:id="rId1" display="http://www.engineeringtoolbox.com/temperature-d_291.html" xr:uid="{00000000-0004-0000-0700-000000000000}"/>
    <hyperlink ref="C15" r:id="rId2" display="http://www.engineeringtoolbox.com/specific-heat-capacity-d_339.html" xr:uid="{00000000-0004-0000-0700-000001000000}"/>
    <hyperlink ref="E15" r:id="rId3" display="http://www.engineeringtoolbox.com/specific-heat-ratio-d_608.html" xr:uid="{00000000-0004-0000-0700-000002000000}"/>
    <hyperlink ref="F15" r:id="rId4" display="http://www.engineeringtoolbox.com/dynamic-absolute-kinematic-viscosity-d_412.html" xr:uid="{00000000-0004-0000-0700-000003000000}"/>
    <hyperlink ref="G15" r:id="rId5" display="http://www.engineeringtoolbox.com/conductive-heat-transfer-d_428.html" xr:uid="{00000000-0004-0000-0700-000004000000}"/>
    <hyperlink ref="I15" r:id="rId6" display="http://www.engineeringtoolbox.com/dynamic-absolute-kinematic-viscosity-d_412.html" xr:uid="{00000000-0004-0000-0700-000005000000}"/>
    <hyperlink ref="J15" r:id="rId7" display="http://www.engineeringtoolbox.com/density-specific-weight-gravity-d_290.html" xr:uid="{00000000-0004-0000-0700-000006000000}"/>
    <hyperlink ref="D4" r:id="rId8" xr:uid="{00000000-0004-0000-0700-000007000000}"/>
  </hyperlinks>
  <pageMargins left="0.75" right="0.75" top="1" bottom="1" header="0.5" footer="0.5"/>
  <pageSetup orientation="portrait" horizontalDpi="300" verticalDpi="300"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9"/>
  <sheetViews>
    <sheetView workbookViewId="0">
      <selection activeCell="G2" sqref="G2"/>
    </sheetView>
  </sheetViews>
  <sheetFormatPr defaultRowHeight="12.5" x14ac:dyDescent="0.25"/>
  <cols>
    <col min="1" max="1" width="4.81640625" customWidth="1"/>
    <col min="2" max="2" width="22.54296875" customWidth="1"/>
    <col min="3" max="3" width="19.7265625" customWidth="1"/>
    <col min="4" max="4" width="12" customWidth="1"/>
    <col min="5" max="5" width="12.7265625" customWidth="1"/>
    <col min="11" max="11" width="21.54296875" customWidth="1"/>
  </cols>
  <sheetData>
    <row r="1" spans="1:20" ht="18" x14ac:dyDescent="0.4">
      <c r="A1" s="20"/>
      <c r="B1" s="44" t="s">
        <v>836</v>
      </c>
      <c r="C1" s="20"/>
      <c r="D1" s="4"/>
      <c r="E1" s="103"/>
      <c r="F1" s="25" t="s">
        <v>14</v>
      </c>
      <c r="G1" s="21"/>
      <c r="H1" s="21"/>
      <c r="I1" s="21"/>
      <c r="J1" s="21"/>
      <c r="K1" s="21"/>
      <c r="L1" s="21"/>
      <c r="M1" s="21"/>
      <c r="N1" s="21"/>
      <c r="O1" s="47" t="s">
        <v>1031</v>
      </c>
      <c r="P1" s="21"/>
      <c r="Q1" s="21"/>
      <c r="R1" s="21"/>
      <c r="S1" s="5"/>
      <c r="T1" s="5"/>
    </row>
    <row r="2" spans="1:20" ht="15.5" x14ac:dyDescent="0.35">
      <c r="A2" s="20"/>
      <c r="B2" s="275"/>
      <c r="C2" s="20"/>
      <c r="D2" s="20"/>
      <c r="E2" s="20"/>
      <c r="F2" s="20"/>
      <c r="G2" s="21"/>
      <c r="H2" s="21"/>
      <c r="I2" s="21"/>
      <c r="L2" s="22" t="s">
        <v>1028</v>
      </c>
      <c r="M2" s="23">
        <v>6</v>
      </c>
      <c r="N2" s="21"/>
      <c r="O2" s="21"/>
      <c r="P2" s="21"/>
      <c r="Q2" s="21"/>
      <c r="R2" s="22" t="s">
        <v>1028</v>
      </c>
      <c r="S2" s="23">
        <v>5</v>
      </c>
      <c r="T2" s="5"/>
    </row>
    <row r="3" spans="1:20" ht="15.5" x14ac:dyDescent="0.35">
      <c r="A3" s="20"/>
      <c r="B3" s="20"/>
      <c r="C3" s="20"/>
      <c r="D3" s="20"/>
      <c r="E3" s="20"/>
      <c r="F3" s="20"/>
      <c r="G3" s="21"/>
      <c r="H3" s="21"/>
      <c r="I3" s="21"/>
      <c r="L3" s="22" t="s">
        <v>1029</v>
      </c>
      <c r="M3" s="23">
        <v>4</v>
      </c>
      <c r="N3" s="21"/>
      <c r="O3" s="21"/>
      <c r="P3" s="21"/>
      <c r="Q3" s="21"/>
      <c r="R3" s="22" t="s">
        <v>1029</v>
      </c>
      <c r="S3" s="23">
        <v>4</v>
      </c>
      <c r="T3" s="5"/>
    </row>
    <row r="4" spans="1:20" ht="18.5" thickBot="1" x14ac:dyDescent="0.45">
      <c r="A4" s="20"/>
      <c r="B4" s="44" t="s">
        <v>874</v>
      </c>
      <c r="C4" s="45"/>
      <c r="D4" s="276"/>
      <c r="E4" s="45"/>
      <c r="F4" s="45"/>
      <c r="G4" s="104"/>
      <c r="H4" s="104"/>
      <c r="I4" s="104"/>
      <c r="L4" s="293" t="s">
        <v>1030</v>
      </c>
      <c r="M4" s="389" t="s">
        <v>1027</v>
      </c>
      <c r="N4" s="104"/>
      <c r="O4" s="104"/>
      <c r="P4" s="104"/>
      <c r="Q4" s="104"/>
      <c r="R4" s="293" t="s">
        <v>1030</v>
      </c>
      <c r="S4" s="389" t="s">
        <v>1027</v>
      </c>
      <c r="T4" s="5"/>
    </row>
    <row r="5" spans="1:20" ht="16" thickBot="1" x14ac:dyDescent="0.4">
      <c r="A5" s="20"/>
      <c r="B5" s="86" t="s">
        <v>875</v>
      </c>
      <c r="C5" s="45" t="s">
        <v>876</v>
      </c>
      <c r="D5" s="276"/>
      <c r="E5" s="45"/>
      <c r="F5" s="45"/>
      <c r="G5" s="104"/>
      <c r="H5" s="104"/>
      <c r="I5" s="104"/>
      <c r="L5" s="293" t="s">
        <v>4</v>
      </c>
      <c r="M5" s="390">
        <f>M2*M3</f>
        <v>24</v>
      </c>
      <c r="N5" s="104"/>
      <c r="O5" s="104"/>
      <c r="P5" s="104"/>
      <c r="Q5" s="104"/>
      <c r="R5" s="293" t="s">
        <v>4</v>
      </c>
      <c r="S5" s="390">
        <f>S2*S3</f>
        <v>20</v>
      </c>
      <c r="T5" s="5"/>
    </row>
    <row r="6" spans="1:20" ht="15.5" x14ac:dyDescent="0.35">
      <c r="A6" s="20"/>
      <c r="B6" s="86" t="s">
        <v>877</v>
      </c>
      <c r="C6" s="45" t="s">
        <v>878</v>
      </c>
      <c r="D6" s="45"/>
      <c r="E6" s="45"/>
      <c r="F6" s="45"/>
      <c r="G6" s="104"/>
      <c r="H6" s="104"/>
      <c r="I6" s="104"/>
      <c r="J6" s="104"/>
      <c r="K6" s="104"/>
      <c r="L6" s="293"/>
      <c r="M6" s="279"/>
      <c r="N6" s="104"/>
      <c r="O6" s="104"/>
      <c r="P6" s="104"/>
      <c r="Q6" s="104"/>
      <c r="R6" s="21"/>
      <c r="S6" s="5"/>
      <c r="T6" s="5"/>
    </row>
    <row r="7" spans="1:20" ht="15.5" x14ac:dyDescent="0.35">
      <c r="A7" s="20"/>
      <c r="B7" s="86" t="s">
        <v>879</v>
      </c>
      <c r="C7" s="45" t="s">
        <v>880</v>
      </c>
      <c r="D7" s="45"/>
      <c r="E7" s="45"/>
      <c r="F7" s="45"/>
      <c r="G7" s="104"/>
      <c r="H7" s="104"/>
      <c r="I7" s="104"/>
      <c r="J7" s="104"/>
      <c r="K7" s="104"/>
      <c r="L7" s="104"/>
      <c r="M7" s="104"/>
      <c r="N7" s="104"/>
      <c r="O7" s="104"/>
      <c r="P7" s="104"/>
      <c r="Q7" s="104"/>
      <c r="R7" s="21"/>
      <c r="S7" s="5"/>
      <c r="T7" s="5"/>
    </row>
    <row r="8" spans="1:20" ht="15.5" x14ac:dyDescent="0.35">
      <c r="A8" s="20"/>
      <c r="B8" s="86" t="s">
        <v>881</v>
      </c>
      <c r="C8" s="45" t="s">
        <v>418</v>
      </c>
      <c r="D8" s="45"/>
      <c r="E8" s="45"/>
      <c r="F8" s="45"/>
      <c r="G8" s="104"/>
      <c r="H8" s="104"/>
      <c r="I8" s="104"/>
      <c r="J8" s="104"/>
      <c r="K8" s="104"/>
      <c r="L8" s="104"/>
      <c r="M8" s="104"/>
      <c r="N8" s="104"/>
      <c r="O8" s="104"/>
      <c r="P8" s="104"/>
      <c r="Q8" s="104"/>
      <c r="R8" s="21"/>
      <c r="S8" s="5"/>
      <c r="T8" s="5"/>
    </row>
    <row r="9" spans="1:20" ht="18" x14ac:dyDescent="0.4">
      <c r="A9" s="20"/>
      <c r="B9" s="44" t="s">
        <v>882</v>
      </c>
      <c r="C9" s="45"/>
      <c r="D9" s="45"/>
      <c r="E9" s="45" t="s">
        <v>883</v>
      </c>
      <c r="F9" s="277"/>
      <c r="G9" s="104"/>
      <c r="H9" s="104"/>
      <c r="I9" s="104"/>
      <c r="J9" s="104"/>
      <c r="K9" s="104"/>
      <c r="L9" s="104"/>
      <c r="M9" s="104"/>
      <c r="N9" s="104"/>
      <c r="O9" s="104"/>
      <c r="P9" s="104"/>
      <c r="Q9" s="104"/>
      <c r="R9" s="21"/>
      <c r="S9" s="5"/>
      <c r="T9" s="5"/>
    </row>
    <row r="10" spans="1:20" ht="15.5" x14ac:dyDescent="0.35">
      <c r="A10" s="20"/>
      <c r="B10" s="86" t="s">
        <v>884</v>
      </c>
      <c r="C10" s="45" t="s">
        <v>876</v>
      </c>
      <c r="D10" s="45"/>
      <c r="E10" s="278" t="s">
        <v>885</v>
      </c>
      <c r="F10" s="104"/>
      <c r="G10" s="104"/>
      <c r="H10" s="104"/>
      <c r="I10" s="278" t="s">
        <v>886</v>
      </c>
      <c r="J10" s="104"/>
      <c r="K10" s="104"/>
      <c r="L10" s="104"/>
      <c r="M10" s="278" t="s">
        <v>1026</v>
      </c>
      <c r="N10" s="104"/>
      <c r="O10" s="104"/>
      <c r="P10" s="104"/>
      <c r="Q10" s="104"/>
      <c r="R10" s="21"/>
      <c r="S10" s="5"/>
      <c r="T10" s="5"/>
    </row>
    <row r="11" spans="1:20" ht="15.5" x14ac:dyDescent="0.35">
      <c r="A11" s="20"/>
      <c r="B11" s="86" t="s">
        <v>887</v>
      </c>
      <c r="C11" s="45" t="s">
        <v>878</v>
      </c>
      <c r="D11" s="45"/>
      <c r="E11" s="14"/>
      <c r="F11" s="279"/>
      <c r="G11" s="104"/>
      <c r="H11" s="104"/>
      <c r="I11" s="104"/>
      <c r="J11" s="104"/>
      <c r="K11" s="104"/>
      <c r="L11" s="104"/>
      <c r="M11" s="104"/>
      <c r="N11" s="104"/>
      <c r="O11" s="104"/>
      <c r="P11" s="104"/>
      <c r="Q11" s="104"/>
      <c r="R11" s="21"/>
    </row>
    <row r="12" spans="1:20" ht="15.5" x14ac:dyDescent="0.35">
      <c r="A12" s="20"/>
      <c r="B12" s="86" t="s">
        <v>888</v>
      </c>
      <c r="C12" s="45" t="s">
        <v>889</v>
      </c>
      <c r="D12" s="45"/>
      <c r="E12" s="280"/>
      <c r="F12" s="281"/>
      <c r="G12" s="104"/>
      <c r="H12" s="104"/>
      <c r="I12" s="104"/>
      <c r="J12" s="104"/>
      <c r="K12" s="104"/>
      <c r="L12" s="104"/>
      <c r="M12" s="104"/>
      <c r="N12" s="104"/>
      <c r="O12" s="104"/>
      <c r="P12" s="104"/>
      <c r="Q12" s="104"/>
      <c r="R12" s="14"/>
    </row>
    <row r="13" spans="1:20" ht="15.5" x14ac:dyDescent="0.35">
      <c r="A13" s="20"/>
      <c r="B13" s="17"/>
      <c r="C13" s="45"/>
      <c r="D13" s="45"/>
      <c r="E13" s="14"/>
      <c r="F13" s="279"/>
      <c r="G13" s="104"/>
      <c r="H13" s="104"/>
      <c r="I13" s="104"/>
      <c r="J13" s="104"/>
      <c r="K13" s="104"/>
      <c r="L13" s="104"/>
      <c r="M13" s="104"/>
      <c r="N13" s="104"/>
      <c r="O13" s="104"/>
      <c r="P13" s="104"/>
      <c r="Q13" s="104"/>
      <c r="R13" s="14"/>
    </row>
    <row r="14" spans="1:20" ht="15.5" x14ac:dyDescent="0.35">
      <c r="A14" s="20"/>
      <c r="B14" s="45"/>
      <c r="C14" s="45"/>
      <c r="D14" s="45"/>
      <c r="E14" s="280"/>
      <c r="F14" s="282"/>
      <c r="G14" s="104"/>
      <c r="H14" s="104"/>
      <c r="I14" s="104"/>
      <c r="J14" s="104"/>
      <c r="K14" s="104"/>
      <c r="L14" s="104"/>
      <c r="M14" s="104"/>
      <c r="N14" s="104"/>
      <c r="O14" s="104"/>
      <c r="P14" s="104"/>
      <c r="Q14" s="104"/>
      <c r="R14" s="14"/>
    </row>
    <row r="15" spans="1:20" ht="15.5" x14ac:dyDescent="0.35">
      <c r="A15" s="20"/>
      <c r="B15" s="45"/>
      <c r="C15" s="104"/>
      <c r="D15" s="45"/>
      <c r="E15" s="45"/>
      <c r="F15" s="45"/>
      <c r="G15" s="45"/>
      <c r="H15" s="45"/>
      <c r="I15" s="45"/>
      <c r="J15" s="104"/>
      <c r="K15" s="104"/>
      <c r="L15" s="104"/>
      <c r="M15" s="104"/>
      <c r="N15" s="104"/>
      <c r="O15" s="104"/>
      <c r="P15" s="104"/>
      <c r="Q15" s="104"/>
      <c r="R15" s="14"/>
    </row>
    <row r="16" spans="1:20" ht="15.5" x14ac:dyDescent="0.35">
      <c r="A16" s="20"/>
      <c r="B16" s="45" t="s">
        <v>890</v>
      </c>
      <c r="C16" s="104"/>
      <c r="D16" s="45"/>
      <c r="E16" s="104"/>
      <c r="F16" s="104"/>
      <c r="G16" s="104"/>
      <c r="H16" s="104"/>
      <c r="I16" s="104"/>
      <c r="J16" s="104"/>
      <c r="K16" s="104"/>
      <c r="L16" s="104"/>
      <c r="M16" s="104"/>
      <c r="N16" s="104"/>
      <c r="O16" s="104"/>
      <c r="P16" s="104"/>
      <c r="Q16" s="104"/>
      <c r="R16" s="14"/>
    </row>
    <row r="17" spans="1:18" ht="15.5" x14ac:dyDescent="0.35">
      <c r="A17" s="20"/>
      <c r="B17" s="104"/>
      <c r="C17" s="104" t="s">
        <v>891</v>
      </c>
      <c r="D17" s="45"/>
      <c r="E17" s="104"/>
      <c r="F17" s="104"/>
      <c r="G17" s="104"/>
      <c r="H17" s="104"/>
      <c r="I17" s="104"/>
      <c r="J17" s="104"/>
      <c r="K17" s="104"/>
      <c r="L17" s="104"/>
      <c r="M17" s="104"/>
      <c r="N17" s="104"/>
      <c r="O17" s="104"/>
      <c r="P17" s="104"/>
      <c r="Q17" s="104"/>
      <c r="R17" s="14"/>
    </row>
    <row r="18" spans="1:18" ht="15.5" x14ac:dyDescent="0.35">
      <c r="A18" s="20"/>
      <c r="B18" s="104"/>
      <c r="C18" s="104" t="s">
        <v>892</v>
      </c>
      <c r="D18" s="45"/>
      <c r="E18" s="104"/>
      <c r="F18" s="104"/>
      <c r="G18" s="104"/>
      <c r="H18" s="104"/>
      <c r="I18" s="104"/>
      <c r="J18" s="104"/>
      <c r="K18" s="104"/>
      <c r="L18" s="104"/>
      <c r="M18" s="104"/>
      <c r="N18" s="104"/>
      <c r="O18" s="104"/>
      <c r="P18" s="104"/>
      <c r="Q18" s="104"/>
      <c r="R18" s="21"/>
    </row>
    <row r="19" spans="1:18" ht="15.5" x14ac:dyDescent="0.35">
      <c r="A19" s="20"/>
      <c r="B19" s="2"/>
      <c r="C19" s="104"/>
      <c r="D19" s="45"/>
      <c r="E19" s="104"/>
      <c r="F19" s="104"/>
      <c r="G19" s="104"/>
      <c r="H19" s="104"/>
      <c r="I19" s="104"/>
      <c r="J19" s="104"/>
      <c r="K19" s="104"/>
      <c r="L19" s="104"/>
      <c r="M19" s="104"/>
      <c r="N19" s="104"/>
      <c r="O19" s="104"/>
      <c r="P19" s="104"/>
      <c r="Q19" s="104"/>
      <c r="R19" s="21"/>
    </row>
    <row r="20" spans="1:18" ht="15.5" x14ac:dyDescent="0.35">
      <c r="A20" s="20"/>
      <c r="B20" s="4"/>
      <c r="C20" s="104"/>
      <c r="D20" s="45"/>
      <c r="E20" s="104"/>
      <c r="F20" s="104"/>
      <c r="G20" s="104"/>
      <c r="H20" s="104"/>
      <c r="I20" s="104"/>
      <c r="J20" s="104"/>
      <c r="K20" s="104"/>
      <c r="L20" s="104"/>
      <c r="M20" s="104"/>
      <c r="N20" s="104"/>
      <c r="O20" s="104"/>
      <c r="P20" s="104"/>
      <c r="Q20" s="104"/>
      <c r="R20" s="21"/>
    </row>
    <row r="21" spans="1:18" ht="15.5" x14ac:dyDescent="0.35">
      <c r="A21" s="20"/>
      <c r="B21" s="4"/>
      <c r="C21" s="104"/>
      <c r="D21" s="45"/>
      <c r="E21" s="104"/>
      <c r="F21" s="104"/>
      <c r="G21" s="104"/>
      <c r="H21" s="104"/>
      <c r="I21" s="104"/>
      <c r="J21" s="104"/>
      <c r="K21" s="104"/>
      <c r="L21" s="104"/>
      <c r="M21" s="104"/>
      <c r="N21" s="104"/>
      <c r="O21" s="104"/>
      <c r="P21" s="104"/>
      <c r="Q21" s="104"/>
      <c r="R21" s="21"/>
    </row>
    <row r="22" spans="1:18" ht="15.5" x14ac:dyDescent="0.35">
      <c r="A22" s="20"/>
      <c r="B22" s="45"/>
      <c r="C22" s="104"/>
      <c r="D22" s="45"/>
      <c r="E22" s="104"/>
      <c r="F22" s="104"/>
      <c r="G22" s="104"/>
      <c r="H22" s="104"/>
      <c r="I22" s="104"/>
      <c r="J22" s="104"/>
      <c r="K22" s="104"/>
      <c r="L22" s="104"/>
      <c r="M22" s="104"/>
      <c r="N22" s="104"/>
      <c r="O22" s="104"/>
      <c r="P22" s="104"/>
      <c r="Q22" s="104"/>
      <c r="R22" s="21"/>
    </row>
    <row r="23" spans="1:18" ht="15.5" x14ac:dyDescent="0.35">
      <c r="A23" s="20"/>
      <c r="B23" s="104"/>
      <c r="C23" s="104"/>
      <c r="D23" s="45"/>
      <c r="E23" s="104"/>
      <c r="F23" s="104"/>
      <c r="G23" s="104"/>
      <c r="H23" s="104"/>
      <c r="I23" s="104"/>
      <c r="J23" s="104"/>
      <c r="K23" s="104"/>
      <c r="L23" s="104"/>
      <c r="M23" s="104"/>
      <c r="N23" s="104"/>
      <c r="O23" s="104"/>
      <c r="P23" s="104"/>
      <c r="Q23" s="104"/>
      <c r="R23" s="21"/>
    </row>
    <row r="24" spans="1:18" ht="15.5" x14ac:dyDescent="0.35">
      <c r="A24" s="20"/>
      <c r="B24" s="45"/>
      <c r="C24" s="45"/>
      <c r="D24" s="45"/>
      <c r="E24" s="104"/>
      <c r="F24" s="104"/>
      <c r="G24" s="104"/>
      <c r="H24" s="104"/>
      <c r="I24" s="104"/>
      <c r="J24" s="104"/>
      <c r="K24" s="104"/>
      <c r="L24" s="104"/>
      <c r="M24" s="104"/>
      <c r="N24" s="104"/>
      <c r="O24" s="104"/>
      <c r="P24" s="104"/>
      <c r="Q24" s="104"/>
      <c r="R24" s="21"/>
    </row>
    <row r="25" spans="1:18" ht="15.5" x14ac:dyDescent="0.35">
      <c r="A25" s="20"/>
      <c r="B25" s="45"/>
      <c r="C25" s="45"/>
      <c r="D25" s="45"/>
      <c r="E25" s="104"/>
      <c r="F25" s="104"/>
      <c r="G25" s="104"/>
      <c r="H25" s="104"/>
      <c r="I25" s="104"/>
      <c r="J25" s="104"/>
      <c r="K25" s="104"/>
      <c r="L25" s="104"/>
      <c r="M25" s="104"/>
      <c r="N25" s="104"/>
      <c r="O25" s="104"/>
      <c r="P25" s="104"/>
      <c r="Q25" s="104"/>
      <c r="R25" s="21"/>
    </row>
    <row r="26" spans="1:18" ht="15.5" x14ac:dyDescent="0.35">
      <c r="A26" s="20"/>
      <c r="B26" s="45"/>
      <c r="C26" s="45"/>
      <c r="D26" s="45"/>
      <c r="E26" s="104"/>
      <c r="F26" s="104"/>
      <c r="G26" s="104"/>
      <c r="H26" s="104"/>
      <c r="I26" s="104"/>
      <c r="J26" s="104"/>
      <c r="K26" s="104"/>
      <c r="L26" s="104"/>
      <c r="M26" s="104"/>
      <c r="N26" s="104"/>
      <c r="O26" s="104"/>
      <c r="P26" s="104"/>
      <c r="Q26" s="104"/>
      <c r="R26" s="21"/>
    </row>
    <row r="27" spans="1:18" ht="15.5" x14ac:dyDescent="0.35">
      <c r="A27" s="20"/>
      <c r="B27" s="45"/>
      <c r="C27" s="45"/>
      <c r="D27" s="45"/>
      <c r="E27" s="104"/>
      <c r="F27" s="104"/>
      <c r="G27" s="104"/>
      <c r="H27" s="104"/>
      <c r="I27" s="104"/>
      <c r="J27" s="104"/>
      <c r="K27" s="104"/>
      <c r="L27" s="104"/>
      <c r="M27" s="104"/>
      <c r="N27" s="104"/>
      <c r="O27" s="104"/>
      <c r="P27" s="104"/>
      <c r="Q27" s="104"/>
      <c r="R27" s="21"/>
    </row>
    <row r="28" spans="1:18" ht="15.5" x14ac:dyDescent="0.35">
      <c r="A28" s="20"/>
      <c r="B28" s="45"/>
      <c r="C28" s="45"/>
      <c r="D28" s="45"/>
      <c r="E28" s="104"/>
      <c r="F28" s="104"/>
      <c r="G28" s="104"/>
      <c r="H28" s="104"/>
      <c r="I28" s="104"/>
      <c r="J28" s="104"/>
      <c r="K28" s="104"/>
      <c r="L28" s="104"/>
      <c r="M28" s="104"/>
      <c r="N28" s="104"/>
      <c r="O28" s="104"/>
      <c r="P28" s="104"/>
      <c r="Q28" s="104"/>
      <c r="R28" s="21"/>
    </row>
    <row r="29" spans="1:18" ht="15.5" x14ac:dyDescent="0.35">
      <c r="A29" s="20"/>
      <c r="B29" s="45"/>
      <c r="C29" s="45"/>
      <c r="D29" s="45"/>
      <c r="E29" s="104"/>
      <c r="F29" s="104"/>
      <c r="G29" s="104"/>
      <c r="H29" s="104"/>
      <c r="I29" s="283" t="s">
        <v>893</v>
      </c>
      <c r="J29" s="283" t="s">
        <v>894</v>
      </c>
      <c r="K29" s="104"/>
      <c r="L29" s="104"/>
      <c r="M29" s="104"/>
      <c r="N29" s="104"/>
      <c r="O29" s="104"/>
      <c r="P29" s="104"/>
      <c r="Q29" s="104"/>
      <c r="R29" s="21"/>
    </row>
    <row r="30" spans="1:18" ht="15.5" x14ac:dyDescent="0.35">
      <c r="A30" s="20"/>
      <c r="B30" s="45"/>
      <c r="C30" s="45"/>
      <c r="D30" s="45"/>
      <c r="E30" s="104"/>
      <c r="F30" s="104"/>
      <c r="G30" s="104"/>
      <c r="H30" s="104"/>
      <c r="I30" s="104">
        <v>1</v>
      </c>
      <c r="J30" s="284">
        <v>10</v>
      </c>
      <c r="K30" s="104"/>
      <c r="L30" s="104"/>
      <c r="M30" s="104"/>
      <c r="N30" s="104"/>
      <c r="O30" s="104"/>
      <c r="P30" s="104"/>
      <c r="Q30" s="104"/>
      <c r="R30" s="21"/>
    </row>
    <row r="31" spans="1:18" ht="15.5" x14ac:dyDescent="0.35">
      <c r="A31" s="20"/>
      <c r="B31" s="45"/>
      <c r="C31" s="45"/>
      <c r="D31" s="45"/>
      <c r="E31" s="104"/>
      <c r="F31" s="278" t="s">
        <v>895</v>
      </c>
      <c r="G31" s="104"/>
      <c r="H31" s="104"/>
      <c r="I31" s="104">
        <v>2</v>
      </c>
      <c r="J31" s="284">
        <v>6</v>
      </c>
      <c r="K31" s="104"/>
      <c r="L31" s="104"/>
      <c r="M31" s="104"/>
      <c r="N31" s="104"/>
      <c r="O31" s="104"/>
      <c r="P31" s="104"/>
      <c r="Q31" s="104"/>
      <c r="R31" s="20"/>
    </row>
    <row r="32" spans="1:18" ht="15.5" x14ac:dyDescent="0.35">
      <c r="A32" s="20"/>
      <c r="B32" s="2" t="s">
        <v>896</v>
      </c>
      <c r="C32" s="20"/>
      <c r="D32" s="20"/>
      <c r="E32" s="21"/>
      <c r="F32" s="285" t="s">
        <v>897</v>
      </c>
      <c r="G32" s="286">
        <v>10</v>
      </c>
      <c r="H32" s="104" t="s">
        <v>898</v>
      </c>
      <c r="I32" s="104">
        <v>3</v>
      </c>
      <c r="J32" s="278" t="s">
        <v>899</v>
      </c>
      <c r="K32" s="104"/>
      <c r="L32" s="104"/>
      <c r="M32" s="104"/>
      <c r="N32" s="104"/>
      <c r="O32" s="104"/>
      <c r="P32" s="104"/>
      <c r="Q32" s="104"/>
      <c r="R32" s="20"/>
    </row>
    <row r="33" spans="1:18" ht="16" thickBot="1" x14ac:dyDescent="0.4">
      <c r="A33" s="20"/>
      <c r="B33" s="287"/>
      <c r="C33" s="88" t="s">
        <v>2</v>
      </c>
      <c r="D33" s="45"/>
      <c r="E33" s="21"/>
      <c r="F33" s="285" t="s">
        <v>900</v>
      </c>
      <c r="G33" s="286">
        <v>6</v>
      </c>
      <c r="H33" s="104" t="s">
        <v>901</v>
      </c>
      <c r="I33" s="104">
        <v>4</v>
      </c>
      <c r="J33" s="278" t="s">
        <v>892</v>
      </c>
      <c r="K33" s="104"/>
      <c r="L33" s="104"/>
      <c r="M33" s="104"/>
      <c r="N33" s="104"/>
      <c r="O33" s="104"/>
      <c r="P33" s="104"/>
      <c r="Q33" s="104"/>
      <c r="R33" s="20"/>
    </row>
    <row r="34" spans="1:18" ht="16" thickBot="1" x14ac:dyDescent="0.4">
      <c r="A34" s="20"/>
      <c r="B34" s="86" t="s">
        <v>902</v>
      </c>
      <c r="C34" s="105">
        <v>10</v>
      </c>
      <c r="D34" s="2" t="s">
        <v>898</v>
      </c>
      <c r="E34" s="21"/>
      <c r="F34" s="288" t="s">
        <v>903</v>
      </c>
      <c r="G34" s="289" t="s">
        <v>904</v>
      </c>
      <c r="H34" s="45"/>
      <c r="I34" s="104">
        <v>5</v>
      </c>
      <c r="J34" s="278" t="s">
        <v>905</v>
      </c>
      <c r="K34" s="104"/>
      <c r="L34" s="104"/>
      <c r="M34" s="104"/>
      <c r="N34" s="104"/>
      <c r="O34" s="104"/>
      <c r="P34" s="104"/>
      <c r="Q34" s="104"/>
      <c r="R34" s="20"/>
    </row>
    <row r="35" spans="1:18" ht="16" thickBot="1" x14ac:dyDescent="0.4">
      <c r="A35" s="20"/>
      <c r="B35" s="86" t="s">
        <v>906</v>
      </c>
      <c r="C35" s="106">
        <v>6</v>
      </c>
      <c r="D35" s="2" t="s">
        <v>898</v>
      </c>
      <c r="E35" s="104"/>
      <c r="F35" s="288" t="s">
        <v>4</v>
      </c>
      <c r="G35" s="290">
        <f>C35/C34</f>
        <v>0.6</v>
      </c>
      <c r="H35" s="45" t="s">
        <v>907</v>
      </c>
      <c r="I35" s="104">
        <v>6</v>
      </c>
      <c r="J35" s="278" t="s">
        <v>908</v>
      </c>
      <c r="K35" s="104"/>
      <c r="L35" s="104"/>
      <c r="M35" s="104"/>
      <c r="N35" s="104"/>
      <c r="O35" s="104"/>
      <c r="P35" s="104"/>
      <c r="Q35" s="104"/>
      <c r="R35" s="20"/>
    </row>
    <row r="36" spans="1:18" ht="15.5" x14ac:dyDescent="0.35">
      <c r="A36" s="20"/>
      <c r="B36" s="276"/>
      <c r="C36" s="88" t="s">
        <v>640</v>
      </c>
      <c r="D36" s="45"/>
      <c r="E36" s="104"/>
      <c r="F36" s="288" t="s">
        <v>909</v>
      </c>
      <c r="G36" s="289" t="s">
        <v>910</v>
      </c>
      <c r="H36" s="45"/>
      <c r="I36" s="104">
        <v>7</v>
      </c>
      <c r="J36" s="284">
        <v>2</v>
      </c>
      <c r="K36" s="104"/>
      <c r="L36" s="104"/>
      <c r="M36" s="104"/>
      <c r="N36" s="104"/>
      <c r="O36" s="104"/>
      <c r="P36" s="104"/>
      <c r="Q36" s="104"/>
      <c r="R36" s="20"/>
    </row>
    <row r="37" spans="1:18" ht="16" thickBot="1" x14ac:dyDescent="0.4">
      <c r="A37" s="20"/>
      <c r="B37" s="86" t="s">
        <v>911</v>
      </c>
      <c r="C37" s="4" t="s">
        <v>912</v>
      </c>
      <c r="D37" s="2"/>
      <c r="E37" s="104"/>
      <c r="F37" s="276" t="s">
        <v>4</v>
      </c>
      <c r="G37" s="291">
        <f>ATAN(C35/C34)</f>
        <v>0.54041950027058416</v>
      </c>
      <c r="H37" s="45" t="s">
        <v>913</v>
      </c>
      <c r="I37" s="104">
        <v>8</v>
      </c>
      <c r="J37" s="278" t="s">
        <v>418</v>
      </c>
      <c r="K37" s="104"/>
      <c r="L37" s="104"/>
      <c r="M37" s="104"/>
      <c r="N37" s="104"/>
      <c r="O37" s="104"/>
      <c r="P37" s="104"/>
      <c r="Q37" s="104"/>
      <c r="R37" s="20"/>
    </row>
    <row r="38" spans="1:18" ht="16" thickBot="1" x14ac:dyDescent="0.4">
      <c r="A38" s="20"/>
      <c r="B38" s="107" t="s">
        <v>4</v>
      </c>
      <c r="C38" s="108">
        <f>( C34^2 + C35^2 )^(1/2)</f>
        <v>11.661903789690601</v>
      </c>
      <c r="D38" s="2" t="s">
        <v>898</v>
      </c>
      <c r="E38" s="104"/>
      <c r="F38" s="288" t="s">
        <v>914</v>
      </c>
      <c r="G38" s="17" t="s">
        <v>915</v>
      </c>
      <c r="H38" s="287" t="s">
        <v>916</v>
      </c>
      <c r="I38" s="104">
        <v>9</v>
      </c>
      <c r="J38" s="286">
        <v>10</v>
      </c>
      <c r="K38" s="104"/>
      <c r="L38" s="104"/>
      <c r="M38" s="104"/>
      <c r="N38" s="104"/>
      <c r="O38" s="104"/>
      <c r="P38" s="104"/>
      <c r="Q38" s="104"/>
      <c r="R38" s="20"/>
    </row>
    <row r="39" spans="1:18" ht="16" thickBot="1" x14ac:dyDescent="0.4">
      <c r="A39" s="20"/>
      <c r="B39" s="86" t="s">
        <v>917</v>
      </c>
      <c r="C39" s="2" t="s">
        <v>918</v>
      </c>
      <c r="D39" s="2"/>
      <c r="E39" s="104"/>
      <c r="F39" s="288" t="s">
        <v>909</v>
      </c>
      <c r="G39" s="292" t="s">
        <v>919</v>
      </c>
      <c r="H39" s="45"/>
      <c r="I39" s="104">
        <v>10</v>
      </c>
      <c r="J39" s="286">
        <v>6</v>
      </c>
      <c r="K39" s="104"/>
      <c r="L39" s="104"/>
      <c r="M39" s="104"/>
      <c r="N39" s="104"/>
      <c r="O39" s="104"/>
      <c r="P39" s="104"/>
      <c r="Q39" s="104"/>
      <c r="R39" s="20"/>
    </row>
    <row r="40" spans="1:18" ht="16" thickBot="1" x14ac:dyDescent="0.4">
      <c r="A40" s="20"/>
      <c r="B40" s="86" t="s">
        <v>4</v>
      </c>
      <c r="C40" s="109">
        <f>57.3 * ATAN(C35 / C34)</f>
        <v>30.966037365504469</v>
      </c>
      <c r="D40" s="2" t="s">
        <v>920</v>
      </c>
      <c r="E40" s="104"/>
      <c r="F40" s="276" t="s">
        <v>4</v>
      </c>
      <c r="G40" s="292">
        <f>57.3*G37</f>
        <v>30.966037365504469</v>
      </c>
      <c r="H40" s="45" t="s">
        <v>916</v>
      </c>
      <c r="I40" s="104"/>
      <c r="J40" s="104"/>
      <c r="K40" s="104"/>
      <c r="L40" s="104"/>
      <c r="M40" s="104"/>
      <c r="N40" s="104"/>
      <c r="O40" s="104"/>
      <c r="P40" s="104"/>
      <c r="Q40" s="104"/>
      <c r="R40" s="20"/>
    </row>
    <row r="41" spans="1:18" ht="15.5" x14ac:dyDescent="0.35">
      <c r="A41" s="20"/>
      <c r="B41" s="45"/>
      <c r="C41" s="45"/>
      <c r="D41" s="45"/>
      <c r="E41" s="104"/>
      <c r="F41" s="104"/>
      <c r="G41" s="104"/>
      <c r="H41" s="104"/>
      <c r="I41" s="104"/>
      <c r="J41" s="104"/>
      <c r="K41" s="104"/>
      <c r="L41" s="104"/>
      <c r="M41" s="104"/>
      <c r="N41" s="104"/>
      <c r="O41" s="104"/>
      <c r="P41" s="104"/>
      <c r="Q41" s="104"/>
      <c r="R41" s="20"/>
    </row>
    <row r="42" spans="1:18" ht="15.5" x14ac:dyDescent="0.35">
      <c r="A42" s="20"/>
      <c r="B42" s="2" t="s">
        <v>921</v>
      </c>
      <c r="C42" s="45"/>
      <c r="D42" s="276"/>
      <c r="E42" s="104"/>
      <c r="F42" s="104"/>
      <c r="G42" s="104"/>
      <c r="H42" s="104"/>
      <c r="I42" s="104"/>
      <c r="J42" s="104"/>
      <c r="K42" s="104"/>
      <c r="L42" s="104"/>
      <c r="M42" s="104"/>
      <c r="N42" s="104"/>
      <c r="O42" s="104"/>
      <c r="P42" s="104"/>
      <c r="Q42" s="104"/>
      <c r="R42" s="20"/>
    </row>
    <row r="43" spans="1:18" ht="15.5" x14ac:dyDescent="0.35">
      <c r="A43" s="20"/>
      <c r="B43" s="289" t="s">
        <v>922</v>
      </c>
      <c r="C43" s="45"/>
      <c r="D43" s="276"/>
      <c r="E43" s="279"/>
      <c r="F43" s="104"/>
      <c r="G43" s="104"/>
      <c r="H43" s="104"/>
      <c r="I43" s="104"/>
      <c r="J43" s="104"/>
      <c r="K43" s="104"/>
      <c r="L43" s="104"/>
      <c r="M43" s="104"/>
      <c r="N43" s="104"/>
      <c r="O43" s="104"/>
      <c r="P43" s="104"/>
      <c r="Q43" s="104"/>
      <c r="R43" s="20"/>
    </row>
    <row r="44" spans="1:18" ht="15.5" x14ac:dyDescent="0.35">
      <c r="A44" s="20"/>
      <c r="B44" s="289" t="s">
        <v>923</v>
      </c>
      <c r="C44" s="45"/>
      <c r="D44" s="276"/>
      <c r="E44" s="104"/>
      <c r="F44" s="104"/>
      <c r="G44" s="104"/>
      <c r="H44" s="104"/>
      <c r="I44" s="104"/>
      <c r="J44" s="104"/>
      <c r="K44" s="104"/>
      <c r="L44" s="104"/>
      <c r="M44" s="104"/>
      <c r="N44" s="104"/>
      <c r="O44" s="104"/>
      <c r="P44" s="104"/>
      <c r="Q44" s="104"/>
      <c r="R44" s="20"/>
    </row>
    <row r="45" spans="1:18" ht="15.5" x14ac:dyDescent="0.35">
      <c r="A45" s="20"/>
      <c r="B45" s="289" t="s">
        <v>924</v>
      </c>
      <c r="C45" s="45"/>
      <c r="D45" s="276"/>
      <c r="E45" s="104"/>
      <c r="F45" s="104"/>
      <c r="G45" s="104"/>
      <c r="H45" s="104"/>
      <c r="I45" s="104"/>
      <c r="J45" s="104"/>
      <c r="K45" s="104"/>
      <c r="L45" s="104"/>
      <c r="M45" s="104"/>
      <c r="N45" s="104"/>
      <c r="O45" s="104"/>
      <c r="P45" s="104"/>
      <c r="Q45" s="104"/>
      <c r="R45" s="20"/>
    </row>
    <row r="46" spans="1:18" ht="15.5" x14ac:dyDescent="0.35">
      <c r="A46" s="20"/>
      <c r="B46" s="289" t="s">
        <v>925</v>
      </c>
      <c r="C46" s="45"/>
      <c r="D46" s="1"/>
      <c r="E46" s="104"/>
      <c r="F46" s="104"/>
      <c r="G46" s="285"/>
      <c r="H46" s="284"/>
      <c r="I46" s="104"/>
      <c r="J46" s="104"/>
      <c r="K46" s="104"/>
      <c r="L46" s="104"/>
      <c r="M46" s="104"/>
      <c r="N46" s="104"/>
      <c r="O46" s="104"/>
      <c r="P46" s="104"/>
      <c r="Q46" s="104"/>
      <c r="R46" s="20"/>
    </row>
    <row r="47" spans="1:18" ht="15.5" x14ac:dyDescent="0.35">
      <c r="A47" s="20"/>
      <c r="B47" s="45"/>
      <c r="C47" s="45"/>
      <c r="D47" s="45"/>
      <c r="E47" s="104"/>
      <c r="F47" s="104"/>
      <c r="G47" s="285"/>
      <c r="H47" s="284"/>
      <c r="I47" s="104"/>
      <c r="J47" s="104"/>
      <c r="K47" s="104"/>
      <c r="L47" s="104"/>
      <c r="M47" s="104"/>
      <c r="N47" s="104"/>
      <c r="O47" s="104"/>
      <c r="P47" s="104"/>
      <c r="Q47" s="104"/>
      <c r="R47" s="20"/>
    </row>
    <row r="48" spans="1:18" ht="15.5" x14ac:dyDescent="0.35">
      <c r="A48" s="20"/>
      <c r="B48" s="45"/>
      <c r="C48" s="45"/>
      <c r="D48" s="276"/>
      <c r="E48" s="293"/>
      <c r="F48" s="294"/>
      <c r="G48" s="278"/>
      <c r="H48" s="284"/>
      <c r="I48" s="104"/>
      <c r="J48" s="104"/>
      <c r="K48" s="104"/>
      <c r="L48" s="104"/>
      <c r="M48" s="104"/>
      <c r="N48" s="104"/>
      <c r="O48" s="104"/>
      <c r="P48" s="104"/>
      <c r="Q48" s="104"/>
      <c r="R48" s="20"/>
    </row>
    <row r="49" spans="1:18" ht="15.5" x14ac:dyDescent="0.35">
      <c r="A49" s="20"/>
      <c r="B49" s="45"/>
      <c r="C49" s="45"/>
      <c r="D49" s="45"/>
      <c r="E49" s="104"/>
      <c r="F49" s="104"/>
      <c r="G49" s="104"/>
      <c r="H49" s="104"/>
      <c r="I49" s="104"/>
      <c r="J49" s="104"/>
      <c r="K49" s="104"/>
      <c r="L49" s="104"/>
      <c r="M49" s="104"/>
      <c r="N49" s="104"/>
      <c r="O49" s="104"/>
      <c r="P49" s="104"/>
      <c r="Q49" s="104"/>
      <c r="R49" s="20"/>
    </row>
    <row r="50" spans="1:18" ht="15.5" x14ac:dyDescent="0.35">
      <c r="A50" s="20"/>
      <c r="B50" s="45"/>
      <c r="C50" s="45"/>
      <c r="D50" s="45"/>
      <c r="E50" s="104"/>
      <c r="F50" s="104"/>
      <c r="G50" s="104"/>
      <c r="H50" s="104"/>
      <c r="I50" s="104"/>
      <c r="J50" s="104"/>
      <c r="K50" s="104"/>
      <c r="L50" s="104"/>
      <c r="M50" s="104"/>
      <c r="N50" s="104"/>
      <c r="O50" s="104"/>
      <c r="P50" s="104"/>
      <c r="Q50" s="104"/>
      <c r="R50" s="20"/>
    </row>
    <row r="51" spans="1:18" ht="15.5" x14ac:dyDescent="0.35">
      <c r="A51" s="20"/>
      <c r="B51" s="45"/>
      <c r="C51" s="45"/>
      <c r="D51" s="45"/>
      <c r="E51" s="104"/>
      <c r="F51" s="104"/>
      <c r="G51" s="104"/>
      <c r="H51" s="104"/>
      <c r="I51" s="104"/>
      <c r="J51" s="104"/>
      <c r="K51" s="104"/>
      <c r="L51" s="104"/>
      <c r="M51" s="104"/>
      <c r="N51" s="104"/>
      <c r="O51" s="104"/>
      <c r="P51" s="104"/>
      <c r="Q51" s="104"/>
      <c r="R51" s="20"/>
    </row>
    <row r="52" spans="1:18" ht="15.5" x14ac:dyDescent="0.35">
      <c r="A52" s="20"/>
      <c r="B52" s="45"/>
      <c r="C52" s="45"/>
      <c r="D52" s="45"/>
      <c r="E52" s="104"/>
      <c r="F52" s="104"/>
      <c r="G52" s="104"/>
      <c r="H52" s="104"/>
      <c r="I52" s="104"/>
      <c r="J52" s="104"/>
      <c r="K52" s="104"/>
      <c r="L52" s="104"/>
      <c r="M52" s="104"/>
      <c r="N52" s="104"/>
      <c r="O52" s="104"/>
      <c r="P52" s="104"/>
      <c r="Q52" s="104"/>
      <c r="R52" s="20"/>
    </row>
    <row r="53" spans="1:18" ht="15.5" x14ac:dyDescent="0.35">
      <c r="A53" s="20"/>
      <c r="B53" s="45"/>
      <c r="C53" s="45"/>
      <c r="D53" s="45"/>
      <c r="E53" s="104"/>
      <c r="F53" s="104"/>
      <c r="G53" s="104"/>
      <c r="H53" s="104"/>
      <c r="I53" s="104"/>
      <c r="J53" s="104"/>
      <c r="K53" s="104"/>
      <c r="L53" s="104"/>
      <c r="M53" s="104"/>
      <c r="N53" s="104"/>
      <c r="O53" s="104"/>
      <c r="P53" s="104"/>
      <c r="Q53" s="104"/>
      <c r="R53" s="20"/>
    </row>
    <row r="54" spans="1:18" ht="15.5" x14ac:dyDescent="0.35">
      <c r="A54" s="20"/>
      <c r="B54" s="45"/>
      <c r="C54" s="45"/>
      <c r="D54" s="45"/>
      <c r="E54" s="104"/>
      <c r="F54" s="104"/>
      <c r="G54" s="104"/>
      <c r="H54" s="104"/>
      <c r="I54" s="104"/>
      <c r="J54" s="104"/>
      <c r="K54" s="104"/>
      <c r="L54" s="104"/>
      <c r="M54" s="104"/>
      <c r="N54" s="104"/>
      <c r="O54" s="104"/>
      <c r="P54" s="104"/>
      <c r="Q54" s="104"/>
      <c r="R54" s="20"/>
    </row>
    <row r="55" spans="1:18" ht="15.5" x14ac:dyDescent="0.35">
      <c r="A55" s="20"/>
      <c r="B55" s="45"/>
      <c r="C55" s="45"/>
      <c r="D55" s="276"/>
      <c r="E55" s="104"/>
      <c r="F55" s="104"/>
      <c r="G55" s="104"/>
      <c r="H55" s="104"/>
      <c r="I55" s="104"/>
      <c r="J55" s="104"/>
      <c r="K55" s="104"/>
      <c r="L55" s="104"/>
      <c r="M55" s="104"/>
      <c r="N55" s="104"/>
      <c r="O55" s="104"/>
      <c r="P55" s="104"/>
      <c r="Q55" s="104"/>
      <c r="R55" s="20"/>
    </row>
    <row r="56" spans="1:18" ht="15.5" x14ac:dyDescent="0.35">
      <c r="A56" s="20"/>
      <c r="B56" s="17" t="s">
        <v>926</v>
      </c>
      <c r="C56" s="45"/>
      <c r="D56" s="276"/>
      <c r="E56" s="104"/>
      <c r="F56" s="104"/>
      <c r="G56" s="104"/>
      <c r="H56" s="104"/>
      <c r="I56" s="104"/>
      <c r="J56" s="104"/>
      <c r="K56" s="104"/>
      <c r="L56" s="104"/>
      <c r="M56" s="104"/>
      <c r="N56" s="104"/>
      <c r="O56" s="104"/>
      <c r="P56" s="104"/>
      <c r="Q56" s="104"/>
      <c r="R56" s="20"/>
    </row>
    <row r="57" spans="1:18" ht="15.5" x14ac:dyDescent="0.35">
      <c r="A57" s="20"/>
      <c r="B57" s="20"/>
      <c r="C57" s="20"/>
      <c r="D57" s="20"/>
      <c r="E57" s="20"/>
      <c r="F57" s="20"/>
      <c r="G57" s="20"/>
      <c r="H57" s="20"/>
      <c r="I57" s="20"/>
      <c r="J57" s="20"/>
      <c r="K57" s="20"/>
      <c r="L57" s="20"/>
      <c r="M57" s="20"/>
      <c r="N57" s="20"/>
      <c r="O57" s="20"/>
      <c r="P57" s="20"/>
      <c r="Q57" s="20"/>
      <c r="R57" s="20"/>
    </row>
    <row r="58" spans="1:18" ht="15.5" x14ac:dyDescent="0.35">
      <c r="A58" s="20"/>
      <c r="B58" s="20"/>
      <c r="C58" s="20"/>
      <c r="D58" s="20"/>
      <c r="E58" s="20"/>
      <c r="F58" s="20"/>
      <c r="G58" s="20"/>
      <c r="H58" s="20"/>
      <c r="I58" s="20"/>
      <c r="J58" s="20"/>
      <c r="K58" s="20"/>
      <c r="L58" s="20"/>
      <c r="M58" s="20"/>
      <c r="N58" s="20"/>
      <c r="O58" s="20"/>
      <c r="P58" s="20"/>
      <c r="Q58" s="20"/>
      <c r="R58" s="20"/>
    </row>
    <row r="59" spans="1:18" x14ac:dyDescent="0.25">
      <c r="D59" t="s">
        <v>849</v>
      </c>
    </row>
  </sheetData>
  <sheetProtection sheet="1" objects="1" scenarios="1"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UNITS</vt:lpstr>
      <vt:lpstr>ENTROPY</vt:lpstr>
      <vt:lpstr>STEAM TURBINES</vt:lpstr>
      <vt:lpstr>GASOLINE ENGINES</vt:lpstr>
      <vt:lpstr>DIESEL ENGINES</vt:lpstr>
      <vt:lpstr>GAS TURBINES</vt:lpstr>
      <vt:lpstr>AIR PROPERTIES</vt:lpstr>
      <vt:lpstr>MATH TOOLS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Andrew</dc:creator>
  <cp:lastModifiedBy>John Andrew</cp:lastModifiedBy>
  <cp:lastPrinted>2012-06-19T14:43:56Z</cp:lastPrinted>
  <dcterms:created xsi:type="dcterms:W3CDTF">2009-10-24T12:10:47Z</dcterms:created>
  <dcterms:modified xsi:type="dcterms:W3CDTF">2022-12-20T18:18:03Z</dcterms:modified>
</cp:coreProperties>
</file>